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yan\Downloads\"/>
    </mc:Choice>
  </mc:AlternateContent>
  <xr:revisionPtr revIDLastSave="0" documentId="13_ncr:1_{20B30B49-111B-4DBD-A6CC-5A2EE2DC829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ingle Run Calculator" sheetId="7" r:id="rId1"/>
    <sheet name="Multiple Runs Calculator" sheetId="3" state="hidden" r:id="rId2"/>
    <sheet name="Multipe Pipe Size Calc" sheetId="1" r:id="rId3"/>
    <sheet name="RT Calculator" sheetId="4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0" i="1" l="1"/>
  <c r="R20" i="1"/>
  <c r="S20" i="1"/>
  <c r="Q21" i="1"/>
  <c r="R21" i="1"/>
  <c r="S21" i="1"/>
  <c r="Q22" i="1"/>
  <c r="R22" i="1"/>
  <c r="S22" i="1"/>
  <c r="Q23" i="1"/>
  <c r="R23" i="1"/>
  <c r="S23" i="1"/>
  <c r="Q25" i="1"/>
  <c r="R25" i="1"/>
  <c r="S25" i="1"/>
  <c r="Q26" i="1"/>
  <c r="R26" i="1"/>
  <c r="S26" i="1"/>
  <c r="Q27" i="1"/>
  <c r="R27" i="1"/>
  <c r="S27" i="1"/>
  <c r="S19" i="1"/>
  <c r="R19" i="1"/>
  <c r="Q19" i="1"/>
  <c r="S5" i="1"/>
  <c r="S6" i="1"/>
  <c r="S7" i="1"/>
  <c r="S10" i="1"/>
  <c r="S11" i="1"/>
  <c r="S12" i="1"/>
  <c r="S13" i="1"/>
  <c r="R5" i="1"/>
  <c r="R6" i="1"/>
  <c r="R7" i="1"/>
  <c r="R10" i="1"/>
  <c r="R11" i="1"/>
  <c r="R12" i="1"/>
  <c r="R13" i="1"/>
  <c r="Q5" i="1"/>
  <c r="Q6" i="1"/>
  <c r="Q7" i="1"/>
  <c r="Q10" i="1"/>
  <c r="Q11" i="1"/>
  <c r="Q12" i="1"/>
  <c r="Q13" i="1"/>
  <c r="C9" i="3"/>
  <c r="C6" i="3"/>
  <c r="T12" i="1" l="1"/>
  <c r="T29" i="1"/>
  <c r="H29" i="1"/>
  <c r="L29" i="1" s="1"/>
  <c r="G29" i="1"/>
  <c r="B29" i="1"/>
  <c r="T28" i="1"/>
  <c r="H28" i="1"/>
  <c r="L28" i="1" s="1"/>
  <c r="G28" i="1"/>
  <c r="B28" i="1"/>
  <c r="H12" i="1"/>
  <c r="L12" i="1" s="1"/>
  <c r="G12" i="1"/>
  <c r="B12" i="1"/>
  <c r="J29" i="1" l="1"/>
  <c r="K29" i="1"/>
  <c r="J28" i="1"/>
  <c r="K28" i="1"/>
  <c r="J12" i="1"/>
  <c r="N12" i="1" s="1"/>
  <c r="P12" i="1" s="1"/>
  <c r="K12" i="1"/>
  <c r="C19" i="3"/>
  <c r="C20" i="3"/>
  <c r="C21" i="3"/>
  <c r="N28" i="1" l="1"/>
  <c r="P28" i="1" s="1"/>
  <c r="R28" i="1" s="1"/>
  <c r="N29" i="1"/>
  <c r="P29" i="1" s="1"/>
  <c r="R29" i="1" s="1"/>
  <c r="I29" i="1"/>
  <c r="M29" i="1" s="1"/>
  <c r="I28" i="1"/>
  <c r="M28" i="1" s="1"/>
  <c r="I12" i="1"/>
  <c r="M12" i="1" s="1"/>
  <c r="O12" i="1" s="1"/>
  <c r="O28" i="1" l="1"/>
  <c r="O29" i="1"/>
  <c r="S31" i="7"/>
  <c r="S30" i="7"/>
  <c r="S29" i="7"/>
  <c r="S28" i="7"/>
  <c r="S27" i="7"/>
  <c r="S26" i="7"/>
  <c r="S25" i="7"/>
  <c r="S24" i="7"/>
  <c r="S23" i="7"/>
  <c r="S22" i="7"/>
  <c r="S5" i="7"/>
  <c r="S6" i="7"/>
  <c r="S7" i="7"/>
  <c r="S8" i="7"/>
  <c r="S9" i="7"/>
  <c r="S10" i="7"/>
  <c r="S11" i="7"/>
  <c r="S12" i="7"/>
  <c r="S13" i="7"/>
  <c r="S4" i="7"/>
  <c r="T27" i="1"/>
  <c r="T26" i="1"/>
  <c r="T25" i="1"/>
  <c r="T24" i="1"/>
  <c r="T23" i="1"/>
  <c r="T22" i="1"/>
  <c r="T21" i="1"/>
  <c r="T20" i="1"/>
  <c r="T19" i="1"/>
  <c r="T5" i="1"/>
  <c r="T6" i="1"/>
  <c r="T7" i="1"/>
  <c r="T8" i="1"/>
  <c r="T9" i="1"/>
  <c r="T10" i="1"/>
  <c r="T11" i="1"/>
  <c r="T13" i="1"/>
  <c r="T4" i="1"/>
  <c r="Q29" i="1" l="1"/>
  <c r="S29" i="1"/>
  <c r="S28" i="1"/>
  <c r="Q28" i="1"/>
  <c r="G20" i="1"/>
  <c r="G21" i="1"/>
  <c r="G22" i="1"/>
  <c r="G23" i="1"/>
  <c r="G24" i="1"/>
  <c r="G25" i="1"/>
  <c r="G26" i="1"/>
  <c r="G27" i="1"/>
  <c r="G19" i="1"/>
  <c r="G5" i="1"/>
  <c r="G6" i="1"/>
  <c r="G7" i="1"/>
  <c r="G8" i="1"/>
  <c r="G9" i="1"/>
  <c r="G10" i="1"/>
  <c r="G11" i="1"/>
  <c r="G13" i="1"/>
  <c r="G4" i="1"/>
  <c r="U13" i="3" l="1"/>
  <c r="U12" i="3"/>
  <c r="U11" i="3"/>
  <c r="U10" i="3"/>
  <c r="U9" i="3"/>
  <c r="U8" i="3"/>
  <c r="U7" i="3"/>
  <c r="U6" i="3"/>
  <c r="U5" i="3"/>
  <c r="U4" i="3"/>
  <c r="U17" i="3"/>
  <c r="U18" i="3"/>
  <c r="U19" i="3"/>
  <c r="U20" i="3"/>
  <c r="U21" i="3"/>
  <c r="U22" i="3"/>
  <c r="U23" i="3"/>
  <c r="U24" i="3"/>
  <c r="U25" i="3"/>
  <c r="U16" i="3"/>
  <c r="G28" i="7"/>
  <c r="J28" i="7" s="1"/>
  <c r="B28" i="7"/>
  <c r="G10" i="7"/>
  <c r="J10" i="7" s="1"/>
  <c r="B10" i="7"/>
  <c r="G7" i="7"/>
  <c r="J7" i="7" s="1"/>
  <c r="B7" i="7"/>
  <c r="I25" i="3"/>
  <c r="L25" i="3" s="1"/>
  <c r="C25" i="3"/>
  <c r="I7" i="3"/>
  <c r="L7" i="3" s="1"/>
  <c r="C7" i="3"/>
  <c r="H28" i="7" l="1"/>
  <c r="L28" i="7" s="1"/>
  <c r="N28" i="7" s="1"/>
  <c r="P28" i="7" s="1"/>
  <c r="K28" i="7"/>
  <c r="H10" i="7"/>
  <c r="L10" i="7" s="1"/>
  <c r="N10" i="7" s="1"/>
  <c r="P10" i="7" s="1"/>
  <c r="K10" i="7"/>
  <c r="H7" i="7"/>
  <c r="L7" i="7" s="1"/>
  <c r="N7" i="7" s="1"/>
  <c r="P7" i="7" s="1"/>
  <c r="K7" i="7"/>
  <c r="J25" i="3"/>
  <c r="N25" i="3" s="1"/>
  <c r="M25" i="3"/>
  <c r="J7" i="3"/>
  <c r="N7" i="3" s="1"/>
  <c r="M7" i="3"/>
  <c r="P7" i="3" l="1"/>
  <c r="P25" i="3"/>
  <c r="I28" i="7"/>
  <c r="M28" i="7" s="1"/>
  <c r="O28" i="7" s="1"/>
  <c r="Q28" i="7" s="1"/>
  <c r="R28" i="7" s="1"/>
  <c r="I10" i="7"/>
  <c r="M10" i="7" s="1"/>
  <c r="O10" i="7" s="1"/>
  <c r="Q10" i="7" s="1"/>
  <c r="R10" i="7" s="1"/>
  <c r="I7" i="7"/>
  <c r="M7" i="7" s="1"/>
  <c r="O7" i="7" s="1"/>
  <c r="Q7" i="7" s="1"/>
  <c r="R7" i="7" s="1"/>
  <c r="K25" i="3"/>
  <c r="O25" i="3" s="1"/>
  <c r="K7" i="3"/>
  <c r="O7" i="3" s="1"/>
  <c r="R7" i="3" l="1"/>
  <c r="R25" i="3"/>
  <c r="Q7" i="3"/>
  <c r="S7" i="3" s="1"/>
  <c r="Q25" i="3"/>
  <c r="S25" i="3" s="1"/>
  <c r="H7" i="1"/>
  <c r="L7" i="1" s="1"/>
  <c r="B7" i="1"/>
  <c r="T7" i="3" l="1"/>
  <c r="T25" i="3"/>
  <c r="K7" i="1"/>
  <c r="I7" i="1" s="1"/>
  <c r="J7" i="1"/>
  <c r="M7" i="1" l="1"/>
  <c r="O7" i="1" s="1"/>
  <c r="N7" i="1"/>
  <c r="P7" i="1" s="1"/>
  <c r="I4" i="3"/>
  <c r="H4" i="1"/>
  <c r="G31" i="7" l="1"/>
  <c r="K31" i="7" s="1"/>
  <c r="I31" i="7" s="1"/>
  <c r="G30" i="7"/>
  <c r="K30" i="7" s="1"/>
  <c r="I30" i="7" s="1"/>
  <c r="G29" i="7"/>
  <c r="K29" i="7" s="1"/>
  <c r="I29" i="7" s="1"/>
  <c r="B31" i="7"/>
  <c r="B30" i="7"/>
  <c r="B29" i="7"/>
  <c r="B27" i="7"/>
  <c r="B26" i="7"/>
  <c r="B25" i="7"/>
  <c r="B24" i="7"/>
  <c r="B23" i="7"/>
  <c r="B22" i="7"/>
  <c r="G13" i="7"/>
  <c r="K13" i="7" s="1"/>
  <c r="G12" i="7"/>
  <c r="K12" i="7" s="1"/>
  <c r="I11" i="3"/>
  <c r="L11" i="3" s="1"/>
  <c r="C11" i="3"/>
  <c r="I28" i="3"/>
  <c r="L28" i="3" s="1"/>
  <c r="B13" i="7"/>
  <c r="B12" i="7"/>
  <c r="B11" i="7"/>
  <c r="B9" i="7"/>
  <c r="B8" i="7"/>
  <c r="B6" i="7"/>
  <c r="B5" i="7"/>
  <c r="B4" i="7"/>
  <c r="C28" i="3"/>
  <c r="C27" i="3"/>
  <c r="C26" i="3"/>
  <c r="C24" i="3"/>
  <c r="C23" i="3"/>
  <c r="C22" i="3"/>
  <c r="C13" i="3"/>
  <c r="C12" i="3"/>
  <c r="C10" i="3"/>
  <c r="C8" i="3"/>
  <c r="C5" i="3"/>
  <c r="C4" i="3"/>
  <c r="B6" i="1"/>
  <c r="B5" i="1"/>
  <c r="B8" i="1"/>
  <c r="B9" i="1"/>
  <c r="B10" i="1"/>
  <c r="B11" i="1"/>
  <c r="B13" i="1"/>
  <c r="B4" i="1"/>
  <c r="B20" i="1"/>
  <c r="B21" i="1"/>
  <c r="B22" i="1"/>
  <c r="B23" i="1"/>
  <c r="B24" i="1"/>
  <c r="B25" i="1"/>
  <c r="B26" i="1"/>
  <c r="B27" i="1"/>
  <c r="B19" i="1"/>
  <c r="H27" i="1"/>
  <c r="K27" i="1" s="1"/>
  <c r="I27" i="3"/>
  <c r="L27" i="3" s="1"/>
  <c r="I26" i="3"/>
  <c r="L26" i="3" s="1"/>
  <c r="I13" i="3"/>
  <c r="L13" i="3" s="1"/>
  <c r="I12" i="3"/>
  <c r="L12" i="3" s="1"/>
  <c r="H11" i="1"/>
  <c r="K11" i="1" s="1"/>
  <c r="D11" i="4"/>
  <c r="H26" i="1"/>
  <c r="K26" i="1" s="1"/>
  <c r="J12" i="3" l="1"/>
  <c r="N12" i="3" s="1"/>
  <c r="P12" i="3" s="1"/>
  <c r="J26" i="3"/>
  <c r="N26" i="3" s="1"/>
  <c r="P26" i="3" s="1"/>
  <c r="J13" i="3"/>
  <c r="N13" i="3" s="1"/>
  <c r="P13" i="3" s="1"/>
  <c r="J27" i="3"/>
  <c r="N27" i="3" s="1"/>
  <c r="P27" i="3" s="1"/>
  <c r="J31" i="7"/>
  <c r="H31" i="7" s="1"/>
  <c r="L31" i="7" s="1"/>
  <c r="N31" i="7" s="1"/>
  <c r="P31" i="7" s="1"/>
  <c r="J30" i="7"/>
  <c r="H30" i="7" s="1"/>
  <c r="L30" i="7" s="1"/>
  <c r="N30" i="7" s="1"/>
  <c r="P30" i="7" s="1"/>
  <c r="M30" i="7"/>
  <c r="O30" i="7" s="1"/>
  <c r="Q30" i="7" s="1"/>
  <c r="M31" i="7"/>
  <c r="O31" i="7" s="1"/>
  <c r="Q31" i="7" s="1"/>
  <c r="M29" i="7"/>
  <c r="O29" i="7" s="1"/>
  <c r="Q29" i="7" s="1"/>
  <c r="J29" i="7"/>
  <c r="J13" i="7"/>
  <c r="H13" i="7" s="1"/>
  <c r="L13" i="7" s="1"/>
  <c r="N13" i="7" s="1"/>
  <c r="P13" i="7" s="1"/>
  <c r="J12" i="7"/>
  <c r="H12" i="7" s="1"/>
  <c r="L12" i="7" s="1"/>
  <c r="N12" i="7" s="1"/>
  <c r="P12" i="7" s="1"/>
  <c r="I13" i="7"/>
  <c r="M13" i="7" s="1"/>
  <c r="O13" i="7" s="1"/>
  <c r="Q13" i="7" s="1"/>
  <c r="I12" i="7"/>
  <c r="M12" i="7" s="1"/>
  <c r="O12" i="7" s="1"/>
  <c r="Q12" i="7" s="1"/>
  <c r="J11" i="3"/>
  <c r="N11" i="3" s="1"/>
  <c r="M11" i="3"/>
  <c r="J28" i="3"/>
  <c r="M28" i="3"/>
  <c r="I26" i="1"/>
  <c r="M26" i="1" s="1"/>
  <c r="I27" i="1"/>
  <c r="L27" i="1"/>
  <c r="L26" i="1"/>
  <c r="M13" i="3"/>
  <c r="M27" i="3"/>
  <c r="M26" i="3"/>
  <c r="M12" i="3"/>
  <c r="I11" i="1"/>
  <c r="L11" i="1"/>
  <c r="G22" i="7"/>
  <c r="R12" i="3" l="1"/>
  <c r="R13" i="3"/>
  <c r="R26" i="3"/>
  <c r="R27" i="3"/>
  <c r="P11" i="3"/>
  <c r="N28" i="3"/>
  <c r="P28" i="3" s="1"/>
  <c r="O26" i="1"/>
  <c r="M27" i="1"/>
  <c r="O27" i="1" s="1"/>
  <c r="M11" i="1"/>
  <c r="O11" i="1" s="1"/>
  <c r="R12" i="7"/>
  <c r="R13" i="7"/>
  <c r="R30" i="7"/>
  <c r="R31" i="7"/>
  <c r="H29" i="7"/>
  <c r="L29" i="7" s="1"/>
  <c r="N29" i="7" s="1"/>
  <c r="P29" i="7" s="1"/>
  <c r="R29" i="7" s="1"/>
  <c r="K11" i="3"/>
  <c r="K28" i="3"/>
  <c r="O28" i="3" s="1"/>
  <c r="K13" i="3"/>
  <c r="O13" i="3" s="1"/>
  <c r="J26" i="1"/>
  <c r="N26" i="1" s="1"/>
  <c r="P26" i="1" s="1"/>
  <c r="J27" i="1"/>
  <c r="N27" i="1" s="1"/>
  <c r="K26" i="3"/>
  <c r="O26" i="3" s="1"/>
  <c r="K27" i="3"/>
  <c r="O27" i="3" s="1"/>
  <c r="K12" i="3"/>
  <c r="J11" i="1"/>
  <c r="H19" i="1"/>
  <c r="K19" i="1" s="1"/>
  <c r="G27" i="7"/>
  <c r="J27" i="7" s="1"/>
  <c r="G26" i="7"/>
  <c r="J26" i="7" s="1"/>
  <c r="G25" i="7"/>
  <c r="J25" i="7" s="1"/>
  <c r="G24" i="7"/>
  <c r="J24" i="7" s="1"/>
  <c r="G23" i="7"/>
  <c r="J23" i="7" s="1"/>
  <c r="J22" i="7"/>
  <c r="R11" i="3" l="1"/>
  <c r="R28" i="3"/>
  <c r="Q27" i="3"/>
  <c r="Q26" i="3"/>
  <c r="Q28" i="3"/>
  <c r="S28" i="3" s="1"/>
  <c r="O12" i="3"/>
  <c r="Q12" i="3" s="1"/>
  <c r="O11" i="3"/>
  <c r="Q11" i="3" s="1"/>
  <c r="S11" i="3" s="1"/>
  <c r="P27" i="1"/>
  <c r="N11" i="1"/>
  <c r="P11" i="1" s="1"/>
  <c r="H27" i="7"/>
  <c r="L27" i="7" s="1"/>
  <c r="N27" i="7" s="1"/>
  <c r="P27" i="7" s="1"/>
  <c r="Q13" i="3"/>
  <c r="I19" i="1"/>
  <c r="M19" i="1" s="1"/>
  <c r="O19" i="1" s="1"/>
  <c r="L19" i="1"/>
  <c r="J19" i="1" s="1"/>
  <c r="N19" i="1" s="1"/>
  <c r="P19" i="1" s="1"/>
  <c r="H22" i="7"/>
  <c r="H24" i="7"/>
  <c r="H26" i="7"/>
  <c r="H23" i="7"/>
  <c r="H25" i="7"/>
  <c r="L25" i="7" s="1"/>
  <c r="N25" i="7" s="1"/>
  <c r="P25" i="7" s="1"/>
  <c r="K22" i="7"/>
  <c r="I22" i="7" s="1"/>
  <c r="K23" i="7"/>
  <c r="I23" i="7" s="1"/>
  <c r="K24" i="7"/>
  <c r="I24" i="7" s="1"/>
  <c r="K25" i="7"/>
  <c r="I25" i="7" s="1"/>
  <c r="K26" i="7"/>
  <c r="I26" i="7" s="1"/>
  <c r="K27" i="7"/>
  <c r="I27" i="7" s="1"/>
  <c r="S12" i="3" l="1"/>
  <c r="T12" i="3"/>
  <c r="S13" i="3"/>
  <c r="T13" i="3"/>
  <c r="T11" i="3"/>
  <c r="S26" i="3"/>
  <c r="T26" i="3"/>
  <c r="S27" i="3"/>
  <c r="T27" i="3"/>
  <c r="T28" i="3"/>
  <c r="L24" i="7"/>
  <c r="N24" i="7" s="1"/>
  <c r="P24" i="7" s="1"/>
  <c r="L23" i="7"/>
  <c r="N23" i="7" s="1"/>
  <c r="P23" i="7" s="1"/>
  <c r="L22" i="7"/>
  <c r="N22" i="7" s="1"/>
  <c r="L26" i="7"/>
  <c r="N26" i="7" s="1"/>
  <c r="P26" i="7" s="1"/>
  <c r="M27" i="7"/>
  <c r="O27" i="7" s="1"/>
  <c r="Q27" i="7" s="1"/>
  <c r="R27" i="7" s="1"/>
  <c r="M23" i="7"/>
  <c r="O23" i="7" s="1"/>
  <c r="Q23" i="7" s="1"/>
  <c r="M26" i="7"/>
  <c r="O26" i="7" s="1"/>
  <c r="Q26" i="7" s="1"/>
  <c r="M24" i="7"/>
  <c r="O24" i="7" s="1"/>
  <c r="Q24" i="7" s="1"/>
  <c r="M22" i="7"/>
  <c r="O22" i="7" s="1"/>
  <c r="Q22" i="7" s="1"/>
  <c r="P22" i="7" l="1"/>
  <c r="R22" i="7"/>
  <c r="R23" i="7"/>
  <c r="R24" i="7"/>
  <c r="R26" i="7"/>
  <c r="M25" i="7"/>
  <c r="O25" i="7" s="1"/>
  <c r="Q25" i="7" s="1"/>
  <c r="R25" i="7" s="1"/>
  <c r="G5" i="7" l="1"/>
  <c r="K5" i="7" s="1"/>
  <c r="G6" i="7"/>
  <c r="K6" i="7" s="1"/>
  <c r="G8" i="7"/>
  <c r="K8" i="7" s="1"/>
  <c r="G9" i="7"/>
  <c r="K9" i="7" s="1"/>
  <c r="G11" i="7"/>
  <c r="K11" i="7" s="1"/>
  <c r="G4" i="7"/>
  <c r="K4" i="7" s="1"/>
  <c r="I11" i="7" l="1"/>
  <c r="M11" i="7" s="1"/>
  <c r="O11" i="7" s="1"/>
  <c r="Q11" i="7" s="1"/>
  <c r="I8" i="7"/>
  <c r="M8" i="7" s="1"/>
  <c r="O8" i="7" s="1"/>
  <c r="Q8" i="7" s="1"/>
  <c r="I4" i="7"/>
  <c r="M4" i="7" s="1"/>
  <c r="O4" i="7" s="1"/>
  <c r="Q4" i="7" s="1"/>
  <c r="I5" i="7"/>
  <c r="M5" i="7" s="1"/>
  <c r="O5" i="7" s="1"/>
  <c r="Q5" i="7" s="1"/>
  <c r="I9" i="7"/>
  <c r="M9" i="7" s="1"/>
  <c r="O9" i="7" s="1"/>
  <c r="Q9" i="7" s="1"/>
  <c r="I6" i="7"/>
  <c r="M6" i="7" s="1"/>
  <c r="O6" i="7" s="1"/>
  <c r="Q6" i="7" s="1"/>
  <c r="J4" i="7"/>
  <c r="J9" i="7"/>
  <c r="J6" i="7"/>
  <c r="J11" i="7"/>
  <c r="J8" i="7"/>
  <c r="J5" i="7"/>
  <c r="H5" i="7" l="1"/>
  <c r="L5" i="7" s="1"/>
  <c r="N5" i="7" s="1"/>
  <c r="P5" i="7" s="1"/>
  <c r="R5" i="7" s="1"/>
  <c r="H11" i="7"/>
  <c r="L11" i="7" s="1"/>
  <c r="N11" i="7" s="1"/>
  <c r="P11" i="7" s="1"/>
  <c r="R11" i="7" s="1"/>
  <c r="H9" i="7"/>
  <c r="L9" i="7" s="1"/>
  <c r="N9" i="7" s="1"/>
  <c r="P9" i="7" s="1"/>
  <c r="R9" i="7" s="1"/>
  <c r="H8" i="7"/>
  <c r="L8" i="7" s="1"/>
  <c r="N8" i="7" s="1"/>
  <c r="P8" i="7" s="1"/>
  <c r="R8" i="7" s="1"/>
  <c r="H6" i="7"/>
  <c r="L6" i="7" s="1"/>
  <c r="N6" i="7" s="1"/>
  <c r="P6" i="7" s="1"/>
  <c r="R6" i="7" s="1"/>
  <c r="H4" i="7" l="1"/>
  <c r="L4" i="7" s="1"/>
  <c r="N4" i="7" l="1"/>
  <c r="R4" i="7" s="1"/>
  <c r="I19" i="3"/>
  <c r="I20" i="3"/>
  <c r="L20" i="3" s="1"/>
  <c r="I21" i="3"/>
  <c r="L21" i="3" s="1"/>
  <c r="I22" i="3"/>
  <c r="L22" i="3" s="1"/>
  <c r="I23" i="3"/>
  <c r="L23" i="3" s="1"/>
  <c r="I24" i="3"/>
  <c r="L24" i="3" s="1"/>
  <c r="P4" i="7" l="1"/>
  <c r="M19" i="3"/>
  <c r="L19" i="3"/>
  <c r="M20" i="3"/>
  <c r="M24" i="3"/>
  <c r="M23" i="3"/>
  <c r="M22" i="3"/>
  <c r="M21" i="3"/>
  <c r="J23" i="3"/>
  <c r="N23" i="3" s="1"/>
  <c r="J22" i="3"/>
  <c r="N22" i="3" s="1"/>
  <c r="J24" i="3"/>
  <c r="N24" i="3" s="1"/>
  <c r="J20" i="3"/>
  <c r="N20" i="3" s="1"/>
  <c r="J21" i="3"/>
  <c r="N21" i="3" s="1"/>
  <c r="H20" i="1"/>
  <c r="K20" i="1" s="1"/>
  <c r="H21" i="1"/>
  <c r="K21" i="1" s="1"/>
  <c r="I21" i="1" s="1"/>
  <c r="H22" i="1"/>
  <c r="K22" i="1" s="1"/>
  <c r="H23" i="1"/>
  <c r="K23" i="1" s="1"/>
  <c r="H24" i="1"/>
  <c r="K24" i="1" s="1"/>
  <c r="H25" i="1"/>
  <c r="K25" i="1" s="1"/>
  <c r="J19" i="3" l="1"/>
  <c r="N19" i="3" s="1"/>
  <c r="P19" i="3" s="1"/>
  <c r="K20" i="3"/>
  <c r="O20" i="3" s="1"/>
  <c r="K23" i="3"/>
  <c r="O23" i="3" s="1"/>
  <c r="L21" i="1"/>
  <c r="J21" i="1" s="1"/>
  <c r="N21" i="1" s="1"/>
  <c r="P21" i="1" s="1"/>
  <c r="K24" i="3"/>
  <c r="O24" i="3" s="1"/>
  <c r="K19" i="3"/>
  <c r="O19" i="3" s="1"/>
  <c r="K21" i="3"/>
  <c r="O21" i="3" s="1"/>
  <c r="K22" i="3"/>
  <c r="O22" i="3" s="1"/>
  <c r="M21" i="1"/>
  <c r="O21" i="1" s="1"/>
  <c r="I23" i="1"/>
  <c r="I25" i="1"/>
  <c r="M25" i="1" s="1"/>
  <c r="I20" i="1"/>
  <c r="M20" i="1" s="1"/>
  <c r="O20" i="1" s="1"/>
  <c r="I22" i="1"/>
  <c r="M22" i="1" s="1"/>
  <c r="I24" i="1"/>
  <c r="M24" i="1" s="1"/>
  <c r="L25" i="1"/>
  <c r="L20" i="1"/>
  <c r="L23" i="1"/>
  <c r="L24" i="1"/>
  <c r="L22" i="1"/>
  <c r="R19" i="3" l="1"/>
  <c r="O25" i="1"/>
  <c r="M23" i="1"/>
  <c r="O23" i="1" s="1"/>
  <c r="O22" i="1"/>
  <c r="J22" i="1"/>
  <c r="J20" i="1"/>
  <c r="N20" i="1" s="1"/>
  <c r="P20" i="1" s="1"/>
  <c r="J24" i="1"/>
  <c r="N24" i="1" s="1"/>
  <c r="J23" i="1"/>
  <c r="J25" i="1"/>
  <c r="N25" i="1" s="1"/>
  <c r="O24" i="1"/>
  <c r="Q24" i="1" l="1"/>
  <c r="P24" i="1"/>
  <c r="R24" i="1" s="1"/>
  <c r="N23" i="1"/>
  <c r="P23" i="1" s="1"/>
  <c r="P25" i="1"/>
  <c r="N22" i="1"/>
  <c r="P22" i="1" s="1"/>
  <c r="D8" i="4"/>
  <c r="D3" i="4"/>
  <c r="D4" i="4"/>
  <c r="D5" i="4"/>
  <c r="D6" i="4"/>
  <c r="D7" i="4"/>
  <c r="D9" i="4"/>
  <c r="D10" i="4"/>
  <c r="D12" i="4"/>
  <c r="D13" i="4"/>
  <c r="D2" i="4"/>
  <c r="I10" i="3"/>
  <c r="L10" i="3" s="1"/>
  <c r="I9" i="3"/>
  <c r="M9" i="3" s="1"/>
  <c r="I8" i="3"/>
  <c r="L8" i="3" s="1"/>
  <c r="I6" i="3"/>
  <c r="M6" i="3" s="1"/>
  <c r="I5" i="3"/>
  <c r="L5" i="3" s="1"/>
  <c r="H10" i="1"/>
  <c r="K10" i="1" s="1"/>
  <c r="H9" i="1"/>
  <c r="K9" i="1" s="1"/>
  <c r="H8" i="1"/>
  <c r="K8" i="1" s="1"/>
  <c r="H6" i="1"/>
  <c r="L6" i="1" s="1"/>
  <c r="H5" i="1"/>
  <c r="K5" i="1" s="1"/>
  <c r="K4" i="1"/>
  <c r="I4" i="1" s="1"/>
  <c r="M4" i="1" s="1"/>
  <c r="O4" i="1" s="1"/>
  <c r="H13" i="1"/>
  <c r="K13" i="1" s="1"/>
  <c r="Q4" i="1" l="1"/>
  <c r="S24" i="1"/>
  <c r="K6" i="3"/>
  <c r="K9" i="3"/>
  <c r="P24" i="3"/>
  <c r="P23" i="3"/>
  <c r="Q20" i="3"/>
  <c r="S20" i="3" s="1"/>
  <c r="P20" i="3"/>
  <c r="P22" i="3"/>
  <c r="P21" i="3"/>
  <c r="Q23" i="3"/>
  <c r="S23" i="3" s="1"/>
  <c r="Q19" i="3"/>
  <c r="Q24" i="3"/>
  <c r="S24" i="3" s="1"/>
  <c r="Q21" i="3"/>
  <c r="S21" i="3" s="1"/>
  <c r="Q22" i="3"/>
  <c r="S22" i="3" s="1"/>
  <c r="L4" i="3"/>
  <c r="L9" i="1"/>
  <c r="L4" i="1"/>
  <c r="J4" i="1" s="1"/>
  <c r="M4" i="3"/>
  <c r="I9" i="1"/>
  <c r="I8" i="1"/>
  <c r="M8" i="1" s="1"/>
  <c r="O8" i="1" s="1"/>
  <c r="L5" i="1"/>
  <c r="J5" i="1" s="1"/>
  <c r="L8" i="1"/>
  <c r="L10" i="1"/>
  <c r="J10" i="1" s="1"/>
  <c r="L6" i="3"/>
  <c r="L9" i="3"/>
  <c r="J6" i="1"/>
  <c r="N6" i="1" s="1"/>
  <c r="P6" i="1" s="1"/>
  <c r="J5" i="3"/>
  <c r="N5" i="3" s="1"/>
  <c r="J8" i="3"/>
  <c r="N8" i="3" s="1"/>
  <c r="J10" i="3"/>
  <c r="N10" i="3" s="1"/>
  <c r="I13" i="1"/>
  <c r="M13" i="1" s="1"/>
  <c r="I5" i="1"/>
  <c r="M5" i="1" s="1"/>
  <c r="O5" i="1" s="1"/>
  <c r="I10" i="1"/>
  <c r="M10" i="1" s="1"/>
  <c r="O10" i="1" s="1"/>
  <c r="L13" i="1"/>
  <c r="K6" i="1"/>
  <c r="M5" i="3"/>
  <c r="M8" i="3"/>
  <c r="M10" i="3"/>
  <c r="Q8" i="1" l="1"/>
  <c r="S19" i="3"/>
  <c r="T19" i="3"/>
  <c r="T20" i="3"/>
  <c r="R20" i="3"/>
  <c r="T21" i="3"/>
  <c r="R21" i="3"/>
  <c r="T22" i="3"/>
  <c r="R22" i="3"/>
  <c r="T23" i="3"/>
  <c r="R23" i="3"/>
  <c r="T24" i="3"/>
  <c r="R24" i="3"/>
  <c r="O9" i="3"/>
  <c r="Q9" i="3" s="1"/>
  <c r="S9" i="3" s="1"/>
  <c r="O6" i="3"/>
  <c r="Q6" i="3" s="1"/>
  <c r="S6" i="3" s="1"/>
  <c r="K4" i="3"/>
  <c r="O4" i="3" s="1"/>
  <c r="Q4" i="3" s="1"/>
  <c r="S4" i="3" s="1"/>
  <c r="J9" i="1"/>
  <c r="N9" i="1" s="1"/>
  <c r="P9" i="1" s="1"/>
  <c r="R9" i="1" s="1"/>
  <c r="O13" i="1"/>
  <c r="M9" i="1"/>
  <c r="O9" i="1" s="1"/>
  <c r="P8" i="3"/>
  <c r="J4" i="3"/>
  <c r="N4" i="3" s="1"/>
  <c r="P10" i="3"/>
  <c r="J9" i="3"/>
  <c r="P5" i="3"/>
  <c r="N10" i="1"/>
  <c r="P10" i="1" s="1"/>
  <c r="J6" i="3"/>
  <c r="N6" i="3" s="1"/>
  <c r="N4" i="1"/>
  <c r="P4" i="1" s="1"/>
  <c r="N5" i="1"/>
  <c r="P5" i="1" s="1"/>
  <c r="J8" i="1"/>
  <c r="N8" i="1" s="1"/>
  <c r="P8" i="1" s="1"/>
  <c r="R8" i="1" s="1"/>
  <c r="K10" i="3"/>
  <c r="O10" i="3" s="1"/>
  <c r="K8" i="3"/>
  <c r="O8" i="3" s="1"/>
  <c r="K5" i="3"/>
  <c r="O5" i="3" s="1"/>
  <c r="I6" i="1"/>
  <c r="M6" i="1" s="1"/>
  <c r="O6" i="1" s="1"/>
  <c r="J13" i="1"/>
  <c r="S8" i="1" l="1"/>
  <c r="R4" i="1"/>
  <c r="S4" i="1"/>
  <c r="Q9" i="1"/>
  <c r="S9" i="1"/>
  <c r="R8" i="3"/>
  <c r="R5" i="3"/>
  <c r="R10" i="3"/>
  <c r="N9" i="3"/>
  <c r="P9" i="3" s="1"/>
  <c r="N13" i="1"/>
  <c r="P13" i="1" s="1"/>
  <c r="Q5" i="3"/>
  <c r="S5" i="3" s="1"/>
  <c r="P6" i="3"/>
  <c r="Q10" i="3"/>
  <c r="S10" i="3" s="1"/>
  <c r="Q8" i="3"/>
  <c r="S8" i="3" s="1"/>
  <c r="P4" i="3"/>
  <c r="T5" i="3" l="1"/>
  <c r="T9" i="3"/>
  <c r="R9" i="3"/>
  <c r="T6" i="3"/>
  <c r="R6" i="3"/>
  <c r="T10" i="3"/>
  <c r="T8" i="3"/>
  <c r="T4" i="3"/>
  <c r="R4" i="3"/>
</calcChain>
</file>

<file path=xl/sharedStrings.xml><?xml version="1.0" encoding="utf-8"?>
<sst xmlns="http://schemas.openxmlformats.org/spreadsheetml/2006/main" count="293" uniqueCount="91">
  <si>
    <t>PICOTE - US RESIN CALCULATOR</t>
  </si>
  <si>
    <t>Total Materials Calculation</t>
  </si>
  <si>
    <t>Instructions: Input data into the yellow boxes</t>
  </si>
  <si>
    <t>Pipe Diameter (in)</t>
  </si>
  <si>
    <r>
      <t xml:space="preserve">Min. recommended # of coats </t>
    </r>
    <r>
      <rPr>
        <b/>
        <sz val="12"/>
        <rFont val="Calibri"/>
        <family val="2"/>
        <scheme val="minor"/>
      </rPr>
      <t>(avg coat thickness = 1 mm per coat)*</t>
    </r>
  </si>
  <si>
    <t># of Coats to be applied</t>
  </si>
  <si>
    <t>Length of run (in Ft)</t>
  </si>
  <si>
    <t>Total Length of Delivery Hose (in Ft) (per Coat)</t>
  </si>
  <si>
    <t>Color to be used for the first coat</t>
  </si>
  <si>
    <t>Coats Even or Odd</t>
  </si>
  <si>
    <t>ML Grey Needed for Delivery Hose</t>
  </si>
  <si>
    <t>ML White Needed for Delivery hose</t>
  </si>
  <si>
    <t>Total # Grey Coats</t>
  </si>
  <si>
    <t>Total # White Coats</t>
  </si>
  <si>
    <t>ML Grey Needed</t>
  </si>
  <si>
    <t>ML White Needed</t>
  </si>
  <si>
    <t>Total # Grey Cartridges Needed</t>
  </si>
  <si>
    <t>Total # White Cartridges Needed</t>
  </si>
  <si>
    <t># of Cases Grey Resin Needed</t>
  </si>
  <si>
    <t># of Cases White Resin Needed</t>
  </si>
  <si>
    <r>
      <rPr>
        <b/>
        <sz val="14"/>
        <color rgb="FFFF0000"/>
        <rFont val="Calibri"/>
        <family val="2"/>
        <scheme val="minor"/>
      </rPr>
      <t>OR</t>
    </r>
    <r>
      <rPr>
        <b/>
        <sz val="14"/>
        <color theme="1"/>
        <rFont val="Calibri"/>
        <family val="2"/>
        <scheme val="minor"/>
      </rPr>
      <t xml:space="preserve"> # Dual Color Cases Needed</t>
    </r>
  </si>
  <si>
    <t>Pipe Diameter</t>
  </si>
  <si>
    <t>1.25"</t>
  </si>
  <si>
    <t>White</t>
  </si>
  <si>
    <t>2"</t>
  </si>
  <si>
    <t>2.5"</t>
  </si>
  <si>
    <t>3"</t>
  </si>
  <si>
    <t>4"</t>
  </si>
  <si>
    <t>5"</t>
  </si>
  <si>
    <t>6"</t>
  </si>
  <si>
    <t>8"</t>
  </si>
  <si>
    <t>9"</t>
  </si>
  <si>
    <t>This calculator provides material usage estimates only. Actual quantities needed can vary depending on the thickness of resin applied per coat, temperature, and other factors.</t>
  </si>
  <si>
    <t>PICOTE - METRIC RESIN CALCULATOR</t>
  </si>
  <si>
    <t>Pipe Diameter (mm)</t>
  </si>
  <si>
    <t>Length of run (in Metres)</t>
  </si>
  <si>
    <t>Total Length of Delivery Hose (in Metres) (per Coat)</t>
  </si>
  <si>
    <t>38 mm</t>
  </si>
  <si>
    <t>50 mm</t>
  </si>
  <si>
    <t>63 mm</t>
  </si>
  <si>
    <t>75 mm</t>
  </si>
  <si>
    <t>100 mm</t>
  </si>
  <si>
    <t>125 mm</t>
  </si>
  <si>
    <t>150 mm</t>
  </si>
  <si>
    <t>200 mm</t>
  </si>
  <si>
    <t>300 mm</t>
  </si>
  <si>
    <t>Run</t>
  </si>
  <si>
    <r>
      <t xml:space="preserve">Pipe Diameter </t>
    </r>
    <r>
      <rPr>
        <b/>
        <sz val="8"/>
        <color theme="1"/>
        <rFont val="Calibri"/>
        <family val="2"/>
        <scheme val="minor"/>
      </rPr>
      <t>(in)</t>
    </r>
  </si>
  <si>
    <t>Qty of Similar Runs</t>
  </si>
  <si>
    <t>Color to be used for first coat</t>
  </si>
  <si>
    <r>
      <rPr>
        <b/>
        <sz val="14"/>
        <color rgb="FFFF0000"/>
        <rFont val="Calibri"/>
        <family val="2"/>
        <scheme val="minor"/>
      </rPr>
      <t>OR</t>
    </r>
    <r>
      <rPr>
        <b/>
        <sz val="14"/>
        <color theme="1"/>
        <rFont val="Calibri"/>
        <family val="2"/>
        <scheme val="minor"/>
      </rPr>
      <t xml:space="preserve"> # of Dual Color Cases Needed</t>
    </r>
  </si>
  <si>
    <t>1.5"</t>
  </si>
  <si>
    <t>10"</t>
  </si>
  <si>
    <t>12"</t>
  </si>
  <si>
    <t>32 mm</t>
  </si>
  <si>
    <t>1st Coat Color Options</t>
  </si>
  <si>
    <t>Total # of Grey Coats</t>
  </si>
  <si>
    <t>Total # of White Coats</t>
  </si>
  <si>
    <t>Cases Grey Needed</t>
  </si>
  <si>
    <t>Cases White Needed</t>
  </si>
  <si>
    <t>Diameter</t>
  </si>
  <si>
    <t>ML of White Needed for Delivery hose</t>
  </si>
  <si>
    <t>ML of Grey Needed</t>
  </si>
  <si>
    <t>ML of White Needed</t>
  </si>
  <si>
    <t>Total # of Grey Cartridges Needed</t>
  </si>
  <si>
    <t>Total # of White Cartridges Needed</t>
  </si>
  <si>
    <t>Cases of Grey Needed</t>
  </si>
  <si>
    <t>Cases of White Needed</t>
  </si>
  <si>
    <t>225 mm</t>
  </si>
  <si>
    <t>250 mm</t>
  </si>
  <si>
    <t>Pipe size</t>
  </si>
  <si>
    <t>pipe Size</t>
  </si>
  <si>
    <t>Sq Ft Int.</t>
  </si>
  <si>
    <t>ML Req</t>
  </si>
  <si>
    <t>Min Rec Coats</t>
  </si>
  <si>
    <t>Recommended Coats</t>
  </si>
  <si>
    <t>3 to 4</t>
  </si>
  <si>
    <t>4 to 5</t>
  </si>
  <si>
    <t>5 to 6</t>
  </si>
  <si>
    <t>6 to 7</t>
  </si>
  <si>
    <t>8 to 9</t>
  </si>
  <si>
    <t>Grey</t>
  </si>
  <si>
    <r>
      <t xml:space="preserve">Min. recommended # of coats                                </t>
    </r>
    <r>
      <rPr>
        <b/>
        <sz val="12"/>
        <rFont val="Calibri"/>
        <family val="2"/>
        <scheme val="minor"/>
      </rPr>
      <t>(avg coat thickness = .7mm per coat)*</t>
    </r>
  </si>
  <si>
    <r>
      <t xml:space="preserve">Min. recommended # of coats                               </t>
    </r>
    <r>
      <rPr>
        <b/>
        <sz val="12"/>
        <rFont val="Calibri"/>
        <family val="2"/>
        <scheme val="minor"/>
      </rPr>
      <t>(avg coat thickness = .7 mm per coat)*</t>
    </r>
  </si>
  <si>
    <t>Mini/Maxi Coating Pump - DC1000E Resin Calculator - US</t>
  </si>
  <si>
    <t>Mini/Maxi Coating Pump - DC1000E Resin Calcualtor - Metric</t>
  </si>
  <si>
    <r>
      <t xml:space="preserve">Min. recommended # of coats                                </t>
    </r>
    <r>
      <rPr>
        <b/>
        <sz val="12"/>
        <rFont val="Calibri"/>
        <family val="2"/>
        <scheme val="minor"/>
      </rPr>
      <t>(avg coat thickness = 1mm per coat)*</t>
    </r>
  </si>
  <si>
    <t>Total Length of Delivery Hose (feet) per Coat</t>
  </si>
  <si>
    <t>Total Length of Delivery Hose (meters) per Coat</t>
  </si>
  <si>
    <t>Mini/Maxi Coating Pump - DC1000E Resin Cacluator - US</t>
  </si>
  <si>
    <t>Mini/Maxi Coating Pump - DC1000E Resin Calculator - Metric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</si>
</sst>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8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36"/>
      <name val="Calibri"/>
      <family val="2"/>
      <scheme val="minor"/>
    </font>
    <font>
      <sz val="24"/>
      <name val="Calibri"/>
      <family val="2"/>
      <scheme val="minor"/>
    </font>
    <font>
      <b/>
      <i/>
      <sz val="1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26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20"/>
      <color rgb="FFFF000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i/>
      <sz val="18"/>
      <color rgb="FFC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0" fillId="0" borderId="0" xfId="0" applyAlignment="1">
      <alignment horizontal="center" vertical="top"/>
    </xf>
    <xf numFmtId="164" fontId="0" fillId="0" borderId="0" xfId="0" applyNumberFormat="1"/>
    <xf numFmtId="0" fontId="0" fillId="0" borderId="0" xfId="0" applyAlignment="1">
      <alignment horizontal="center"/>
    </xf>
    <xf numFmtId="0" fontId="11" fillId="3" borderId="1" xfId="0" applyFont="1" applyFill="1" applyBorder="1" applyAlignment="1">
      <alignment horizontal="center"/>
    </xf>
    <xf numFmtId="1" fontId="11" fillId="5" borderId="1" xfId="0" applyNumberFormat="1" applyFont="1" applyFill="1" applyBorder="1" applyAlignment="1">
      <alignment horizontal="center"/>
    </xf>
    <xf numFmtId="1" fontId="11" fillId="6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0" fillId="9" borderId="0" xfId="0" applyFill="1"/>
    <xf numFmtId="0" fontId="0" fillId="9" borderId="0" xfId="0" applyFill="1" applyAlignment="1">
      <alignment horizontal="left" vertical="top"/>
    </xf>
    <xf numFmtId="0" fontId="2" fillId="9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6" fillId="4" borderId="11" xfId="0" applyFont="1" applyFill="1" applyBorder="1" applyAlignment="1">
      <alignment horizontal="center" vertical="top" wrapText="1"/>
    </xf>
    <xf numFmtId="0" fontId="11" fillId="3" borderId="13" xfId="0" applyFont="1" applyFill="1" applyBorder="1" applyAlignment="1">
      <alignment horizontal="center"/>
    </xf>
    <xf numFmtId="1" fontId="11" fillId="5" borderId="13" xfId="0" applyNumberFormat="1" applyFont="1" applyFill="1" applyBorder="1" applyAlignment="1">
      <alignment horizontal="center"/>
    </xf>
    <xf numFmtId="1" fontId="11" fillId="6" borderId="13" xfId="0" applyNumberFormat="1" applyFont="1" applyFill="1" applyBorder="1" applyAlignment="1">
      <alignment horizontal="center"/>
    </xf>
    <xf numFmtId="1" fontId="11" fillId="6" borderId="16" xfId="0" applyNumberFormat="1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 vertical="top" wrapText="1"/>
    </xf>
    <xf numFmtId="0" fontId="5" fillId="4" borderId="20" xfId="0" applyFont="1" applyFill="1" applyBorder="1" applyAlignment="1">
      <alignment horizontal="center" vertical="top" wrapText="1"/>
    </xf>
    <xf numFmtId="0" fontId="6" fillId="4" borderId="20" xfId="0" applyFont="1" applyFill="1" applyBorder="1" applyAlignment="1">
      <alignment horizontal="center" vertical="top" wrapText="1"/>
    </xf>
    <xf numFmtId="0" fontId="12" fillId="4" borderId="20" xfId="0" applyFont="1" applyFill="1" applyBorder="1" applyAlignment="1">
      <alignment horizontal="center" vertical="top" wrapText="1"/>
    </xf>
    <xf numFmtId="0" fontId="6" fillId="4" borderId="21" xfId="0" applyFont="1" applyFill="1" applyBorder="1" applyAlignment="1">
      <alignment horizontal="center" vertical="top" wrapText="1"/>
    </xf>
    <xf numFmtId="0" fontId="6" fillId="4" borderId="22" xfId="0" applyFont="1" applyFill="1" applyBorder="1" applyAlignment="1">
      <alignment horizontal="center" vertical="top" wrapText="1"/>
    </xf>
    <xf numFmtId="1" fontId="8" fillId="0" borderId="13" xfId="0" applyNumberFormat="1" applyFont="1" applyBorder="1" applyAlignment="1">
      <alignment horizontal="center" vertical="center"/>
    </xf>
    <xf numFmtId="1" fontId="11" fillId="6" borderId="24" xfId="0" applyNumberFormat="1" applyFont="1" applyFill="1" applyBorder="1" applyAlignment="1">
      <alignment horizontal="center"/>
    </xf>
    <xf numFmtId="0" fontId="0" fillId="3" borderId="0" xfId="0" applyFill="1"/>
    <xf numFmtId="0" fontId="1" fillId="4" borderId="13" xfId="0" applyFont="1" applyFill="1" applyBorder="1" applyAlignment="1">
      <alignment horizontal="center" vertical="top" wrapText="1"/>
    </xf>
    <xf numFmtId="0" fontId="11" fillId="3" borderId="3" xfId="0" applyFont="1" applyFill="1" applyBorder="1" applyAlignment="1">
      <alignment vertical="center"/>
    </xf>
    <xf numFmtId="0" fontId="8" fillId="0" borderId="11" xfId="0" applyFont="1" applyBorder="1" applyAlignment="1">
      <alignment horizontal="center"/>
    </xf>
    <xf numFmtId="0" fontId="8" fillId="3" borderId="0" xfId="0" applyFont="1" applyFill="1"/>
    <xf numFmtId="0" fontId="8" fillId="0" borderId="0" xfId="0" applyFont="1"/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1" fillId="8" borderId="19" xfId="0" applyFont="1" applyFill="1" applyBorder="1" applyAlignment="1">
      <alignment horizontal="center" vertical="top"/>
    </xf>
    <xf numFmtId="0" fontId="0" fillId="9" borderId="26" xfId="0" applyFill="1" applyBorder="1"/>
    <xf numFmtId="0" fontId="2" fillId="9" borderId="6" xfId="0" applyFont="1" applyFill="1" applyBorder="1" applyAlignment="1">
      <alignment horizontal="center"/>
    </xf>
    <xf numFmtId="0" fontId="0" fillId="9" borderId="6" xfId="0" applyFill="1" applyBorder="1"/>
    <xf numFmtId="0" fontId="0" fillId="9" borderId="6" xfId="0" applyFill="1" applyBorder="1" applyAlignment="1">
      <alignment horizontal="left" vertical="top"/>
    </xf>
    <xf numFmtId="0" fontId="0" fillId="3" borderId="0" xfId="0" applyFill="1" applyAlignment="1">
      <alignment horizontal="left" vertical="top"/>
    </xf>
    <xf numFmtId="0" fontId="0" fillId="9" borderId="12" xfId="0" applyFill="1" applyBorder="1" applyAlignment="1">
      <alignment horizontal="left" vertical="top"/>
    </xf>
    <xf numFmtId="0" fontId="2" fillId="9" borderId="26" xfId="0" applyFont="1" applyFill="1" applyBorder="1" applyAlignment="1">
      <alignment horizontal="center"/>
    </xf>
    <xf numFmtId="0" fontId="0" fillId="9" borderId="7" xfId="0" applyFill="1" applyBorder="1" applyAlignment="1">
      <alignment horizontal="left" vertical="top"/>
    </xf>
    <xf numFmtId="0" fontId="26" fillId="3" borderId="0" xfId="0" applyFont="1" applyFill="1"/>
    <xf numFmtId="0" fontId="25" fillId="3" borderId="2" xfId="0" applyFont="1" applyFill="1" applyBorder="1" applyAlignment="1">
      <alignment vertical="center"/>
    </xf>
    <xf numFmtId="0" fontId="25" fillId="3" borderId="3" xfId="0" applyFont="1" applyFill="1" applyBorder="1" applyAlignment="1">
      <alignment horizontal="left" vertical="center"/>
    </xf>
    <xf numFmtId="0" fontId="0" fillId="3" borderId="8" xfId="0" applyFill="1" applyBorder="1"/>
    <xf numFmtId="0" fontId="25" fillId="3" borderId="2" xfId="0" applyFont="1" applyFill="1" applyBorder="1" applyAlignment="1">
      <alignment horizontal="left" vertical="center"/>
    </xf>
    <xf numFmtId="0" fontId="0" fillId="3" borderId="0" xfId="0" applyFill="1" applyAlignment="1">
      <alignment horizontal="center"/>
    </xf>
    <xf numFmtId="0" fontId="29" fillId="3" borderId="0" xfId="0" applyFont="1" applyFill="1" applyAlignment="1">
      <alignment vertical="center"/>
    </xf>
    <xf numFmtId="0" fontId="2" fillId="3" borderId="3" xfId="0" applyFont="1" applyFill="1" applyBorder="1" applyAlignment="1">
      <alignment horizontal="center"/>
    </xf>
    <xf numFmtId="0" fontId="0" fillId="3" borderId="3" xfId="0" applyFill="1" applyBorder="1"/>
    <xf numFmtId="0" fontId="28" fillId="3" borderId="8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/>
    </xf>
    <xf numFmtId="0" fontId="3" fillId="9" borderId="26" xfId="0" applyFont="1" applyFill="1" applyBorder="1" applyAlignment="1">
      <alignment horizontal="center" vertical="top"/>
    </xf>
    <xf numFmtId="0" fontId="3" fillId="9" borderId="6" xfId="0" applyFont="1" applyFill="1" applyBorder="1" applyAlignment="1">
      <alignment horizontal="center" vertical="top"/>
    </xf>
    <xf numFmtId="0" fontId="15" fillId="9" borderId="6" xfId="0" applyFont="1" applyFill="1" applyBorder="1"/>
    <xf numFmtId="0" fontId="17" fillId="3" borderId="0" xfId="0" applyFont="1" applyFill="1"/>
    <xf numFmtId="0" fontId="24" fillId="3" borderId="3" xfId="0" applyFont="1" applyFill="1" applyBorder="1" applyAlignment="1">
      <alignment horizontal="left"/>
    </xf>
    <xf numFmtId="0" fontId="21" fillId="3" borderId="8" xfId="0" applyFont="1" applyFill="1" applyBorder="1" applyAlignment="1">
      <alignment vertical="top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8" fillId="3" borderId="3" xfId="0" applyFont="1" applyFill="1" applyBorder="1"/>
    <xf numFmtId="0" fontId="19" fillId="3" borderId="3" xfId="0" applyFont="1" applyFill="1" applyBorder="1" applyAlignment="1">
      <alignment horizontal="left"/>
    </xf>
    <xf numFmtId="0" fontId="20" fillId="3" borderId="3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8" fillId="3" borderId="0" xfId="0" applyFont="1" applyFill="1"/>
    <xf numFmtId="0" fontId="7" fillId="3" borderId="8" xfId="0" applyFont="1" applyFill="1" applyBorder="1" applyAlignment="1">
      <alignment horizontal="center" vertical="center"/>
    </xf>
    <xf numFmtId="1" fontId="8" fillId="2" borderId="13" xfId="0" applyNumberFormat="1" applyFont="1" applyFill="1" applyBorder="1" applyAlignment="1">
      <alignment horizontal="center" vertical="center"/>
    </xf>
    <xf numFmtId="2" fontId="8" fillId="2" borderId="13" xfId="0" applyNumberFormat="1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1" fontId="8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1" fontId="8" fillId="3" borderId="0" xfId="0" applyNumberFormat="1" applyFont="1" applyFill="1" applyAlignment="1">
      <alignment horizontal="center" vertical="center"/>
    </xf>
    <xf numFmtId="2" fontId="8" fillId="3" borderId="0" xfId="0" applyNumberFormat="1" applyFont="1" applyFill="1" applyAlignment="1">
      <alignment horizontal="center" vertical="center"/>
    </xf>
    <xf numFmtId="0" fontId="0" fillId="3" borderId="15" xfId="0" applyFill="1" applyBorder="1"/>
    <xf numFmtId="0" fontId="10" fillId="3" borderId="14" xfId="0" applyFont="1" applyFill="1" applyBorder="1"/>
    <xf numFmtId="0" fontId="9" fillId="3" borderId="0" xfId="0" applyFont="1" applyFill="1" applyAlignment="1">
      <alignment vertical="center"/>
    </xf>
    <xf numFmtId="0" fontId="9" fillId="3" borderId="3" xfId="0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0" fillId="10" borderId="0" xfId="0" applyFill="1"/>
    <xf numFmtId="0" fontId="6" fillId="4" borderId="29" xfId="0" applyFont="1" applyFill="1" applyBorder="1" applyAlignment="1">
      <alignment horizontal="center" vertical="top" wrapText="1"/>
    </xf>
    <xf numFmtId="0" fontId="26" fillId="3" borderId="4" xfId="0" applyFon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1" fillId="4" borderId="30" xfId="0" applyFont="1" applyFill="1" applyBorder="1" applyAlignment="1">
      <alignment horizontal="center" vertical="top" wrapText="1"/>
    </xf>
    <xf numFmtId="0" fontId="4" fillId="0" borderId="31" xfId="0" applyFont="1" applyBorder="1" applyAlignment="1">
      <alignment horizontal="center"/>
    </xf>
    <xf numFmtId="0" fontId="0" fillId="9" borderId="15" xfId="0" applyFill="1" applyBorder="1" applyAlignment="1">
      <alignment horizontal="center"/>
    </xf>
    <xf numFmtId="0" fontId="29" fillId="3" borderId="15" xfId="0" applyFont="1" applyFill="1" applyBorder="1" applyAlignment="1">
      <alignment horizontal="center" vertical="center"/>
    </xf>
    <xf numFmtId="0" fontId="30" fillId="10" borderId="7" xfId="0" applyFont="1" applyFill="1" applyBorder="1" applyAlignment="1">
      <alignment vertical="center"/>
    </xf>
    <xf numFmtId="0" fontId="4" fillId="0" borderId="32" xfId="0" applyFont="1" applyBorder="1" applyAlignment="1">
      <alignment horizontal="center"/>
    </xf>
    <xf numFmtId="0" fontId="30" fillId="3" borderId="0" xfId="0" applyFont="1" applyFill="1" applyAlignment="1">
      <alignment vertical="center"/>
    </xf>
    <xf numFmtId="0" fontId="31" fillId="0" borderId="5" xfId="0" applyFont="1" applyBorder="1" applyAlignment="1">
      <alignment horizontal="center"/>
    </xf>
    <xf numFmtId="0" fontId="32" fillId="3" borderId="1" xfId="0" applyFont="1" applyFill="1" applyBorder="1" applyAlignment="1">
      <alignment horizontal="center"/>
    </xf>
    <xf numFmtId="0" fontId="31" fillId="2" borderId="1" xfId="0" applyFont="1" applyFill="1" applyBorder="1" applyAlignment="1" applyProtection="1">
      <alignment horizontal="center"/>
      <protection locked="0"/>
    </xf>
    <xf numFmtId="0" fontId="31" fillId="0" borderId="1" xfId="0" applyFont="1" applyBorder="1" applyAlignment="1">
      <alignment horizontal="center"/>
    </xf>
    <xf numFmtId="1" fontId="33" fillId="0" borderId="1" xfId="0" applyNumberFormat="1" applyFont="1" applyBorder="1" applyAlignment="1">
      <alignment horizontal="center"/>
    </xf>
    <xf numFmtId="1" fontId="32" fillId="5" borderId="1" xfId="0" applyNumberFormat="1" applyFont="1" applyFill="1" applyBorder="1" applyAlignment="1">
      <alignment horizontal="center"/>
    </xf>
    <xf numFmtId="1" fontId="32" fillId="6" borderId="1" xfId="0" applyNumberFormat="1" applyFont="1" applyFill="1" applyBorder="1" applyAlignment="1">
      <alignment horizontal="center"/>
    </xf>
    <xf numFmtId="0" fontId="31" fillId="0" borderId="17" xfId="0" applyFont="1" applyBorder="1" applyAlignment="1">
      <alignment horizontal="center"/>
    </xf>
    <xf numFmtId="0" fontId="32" fillId="3" borderId="18" xfId="0" applyFont="1" applyFill="1" applyBorder="1" applyAlignment="1">
      <alignment horizontal="center"/>
    </xf>
    <xf numFmtId="0" fontId="31" fillId="2" borderId="18" xfId="0" applyFont="1" applyFill="1" applyBorder="1" applyAlignment="1" applyProtection="1">
      <alignment horizontal="center"/>
      <protection locked="0"/>
    </xf>
    <xf numFmtId="0" fontId="31" fillId="0" borderId="18" xfId="0" applyFont="1" applyBorder="1" applyAlignment="1">
      <alignment horizontal="center"/>
    </xf>
    <xf numFmtId="1" fontId="33" fillId="0" borderId="18" xfId="0" applyNumberFormat="1" applyFont="1" applyBorder="1" applyAlignment="1">
      <alignment horizontal="center"/>
    </xf>
    <xf numFmtId="1" fontId="32" fillId="5" borderId="18" xfId="0" applyNumberFormat="1" applyFont="1" applyFill="1" applyBorder="1" applyAlignment="1">
      <alignment horizontal="center"/>
    </xf>
    <xf numFmtId="1" fontId="32" fillId="6" borderId="18" xfId="0" applyNumberFormat="1" applyFont="1" applyFill="1" applyBorder="1" applyAlignment="1">
      <alignment horizontal="center"/>
    </xf>
    <xf numFmtId="0" fontId="31" fillId="0" borderId="23" xfId="0" applyFont="1" applyBorder="1" applyAlignment="1">
      <alignment horizontal="center" vertical="center"/>
    </xf>
    <xf numFmtId="0" fontId="32" fillId="3" borderId="13" xfId="0" applyFont="1" applyFill="1" applyBorder="1" applyAlignment="1">
      <alignment horizontal="center"/>
    </xf>
    <xf numFmtId="0" fontId="31" fillId="2" borderId="13" xfId="0" applyFont="1" applyFill="1" applyBorder="1" applyAlignment="1" applyProtection="1">
      <alignment horizontal="center"/>
      <protection locked="0"/>
    </xf>
    <xf numFmtId="0" fontId="31" fillId="0" borderId="13" xfId="0" applyFont="1" applyBorder="1" applyAlignment="1">
      <alignment horizontal="center"/>
    </xf>
    <xf numFmtId="1" fontId="33" fillId="0" borderId="13" xfId="0" applyNumberFormat="1" applyFont="1" applyBorder="1" applyAlignment="1">
      <alignment horizontal="center"/>
    </xf>
    <xf numFmtId="1" fontId="32" fillId="5" borderId="13" xfId="0" applyNumberFormat="1" applyFont="1" applyFill="1" applyBorder="1" applyAlignment="1">
      <alignment horizontal="center"/>
    </xf>
    <xf numFmtId="1" fontId="32" fillId="6" borderId="13" xfId="0" applyNumberFormat="1" applyFont="1" applyFill="1" applyBorder="1" applyAlignment="1">
      <alignment horizontal="center"/>
    </xf>
    <xf numFmtId="0" fontId="31" fillId="0" borderId="5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27" fillId="3" borderId="10" xfId="0" applyFont="1" applyFill="1" applyBorder="1" applyAlignment="1">
      <alignment horizontal="left" vertical="center" indent="1"/>
    </xf>
    <xf numFmtId="0" fontId="31" fillId="0" borderId="23" xfId="0" applyFont="1" applyBorder="1" applyAlignment="1">
      <alignment horizontal="center"/>
    </xf>
    <xf numFmtId="0" fontId="31" fillId="0" borderId="25" xfId="0" applyFont="1" applyBorder="1" applyAlignment="1">
      <alignment horizontal="center"/>
    </xf>
    <xf numFmtId="0" fontId="32" fillId="2" borderId="13" xfId="0" applyFont="1" applyFill="1" applyBorder="1" applyAlignment="1" applyProtection="1">
      <alignment horizontal="center" vertical="center"/>
      <protection locked="0"/>
    </xf>
    <xf numFmtId="1" fontId="32" fillId="6" borderId="13" xfId="0" applyNumberFormat="1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/>
    </xf>
    <xf numFmtId="0" fontId="31" fillId="3" borderId="0" xfId="0" applyFont="1" applyFill="1"/>
    <xf numFmtId="0" fontId="31" fillId="0" borderId="0" xfId="0" applyFont="1"/>
    <xf numFmtId="0" fontId="32" fillId="2" borderId="1" xfId="0" applyFont="1" applyFill="1" applyBorder="1" applyAlignment="1" applyProtection="1">
      <alignment horizontal="center" vertical="center"/>
      <protection locked="0"/>
    </xf>
    <xf numFmtId="1" fontId="32" fillId="6" borderId="1" xfId="0" applyNumberFormat="1" applyFont="1" applyFill="1" applyBorder="1" applyAlignment="1">
      <alignment horizontal="center" vertical="center" wrapText="1"/>
    </xf>
    <xf numFmtId="0" fontId="32" fillId="2" borderId="1" xfId="0" applyFont="1" applyFill="1" applyBorder="1" applyAlignment="1" applyProtection="1">
      <alignment horizontal="center"/>
      <protection locked="0"/>
    </xf>
    <xf numFmtId="0" fontId="31" fillId="0" borderId="27" xfId="0" applyFont="1" applyBorder="1" applyAlignment="1">
      <alignment horizontal="center"/>
    </xf>
    <xf numFmtId="0" fontId="32" fillId="3" borderId="27" xfId="0" applyFont="1" applyFill="1" applyBorder="1" applyAlignment="1">
      <alignment horizontal="center"/>
    </xf>
    <xf numFmtId="0" fontId="32" fillId="2" borderId="27" xfId="0" applyFont="1" applyFill="1" applyBorder="1" applyAlignment="1" applyProtection="1">
      <alignment horizontal="center"/>
      <protection locked="0"/>
    </xf>
    <xf numFmtId="0" fontId="31" fillId="2" borderId="27" xfId="0" applyFont="1" applyFill="1" applyBorder="1" applyAlignment="1" applyProtection="1">
      <alignment horizontal="center"/>
      <protection locked="0"/>
    </xf>
    <xf numFmtId="1" fontId="33" fillId="0" borderId="27" xfId="0" applyNumberFormat="1" applyFont="1" applyBorder="1" applyAlignment="1">
      <alignment horizontal="center"/>
    </xf>
    <xf numFmtId="1" fontId="32" fillId="5" borderId="27" xfId="0" applyNumberFormat="1" applyFont="1" applyFill="1" applyBorder="1" applyAlignment="1">
      <alignment horizontal="center"/>
    </xf>
    <xf numFmtId="1" fontId="32" fillId="6" borderId="27" xfId="0" applyNumberFormat="1" applyFont="1" applyFill="1" applyBorder="1" applyAlignment="1">
      <alignment horizontal="center"/>
    </xf>
    <xf numFmtId="1" fontId="32" fillId="6" borderId="27" xfId="0" applyNumberFormat="1" applyFont="1" applyFill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/>
    </xf>
    <xf numFmtId="0" fontId="32" fillId="2" borderId="13" xfId="0" applyFont="1" applyFill="1" applyBorder="1" applyAlignment="1" applyProtection="1">
      <alignment horizontal="center"/>
      <protection locked="0"/>
    </xf>
    <xf numFmtId="1" fontId="32" fillId="6" borderId="24" xfId="0" applyNumberFormat="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1" fontId="32" fillId="6" borderId="16" xfId="0" applyNumberFormat="1" applyFont="1" applyFill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/>
    </xf>
    <xf numFmtId="0" fontId="32" fillId="2" borderId="18" xfId="0" applyFont="1" applyFill="1" applyBorder="1" applyAlignment="1" applyProtection="1">
      <alignment horizontal="center"/>
      <protection locked="0"/>
    </xf>
    <xf numFmtId="1" fontId="32" fillId="6" borderId="28" xfId="0" applyNumberFormat="1" applyFont="1" applyFill="1" applyBorder="1" applyAlignment="1">
      <alignment horizontal="center" vertical="center" wrapText="1"/>
    </xf>
    <xf numFmtId="0" fontId="31" fillId="2" borderId="19" xfId="0" applyFont="1" applyFill="1" applyBorder="1" applyAlignment="1" applyProtection="1">
      <alignment horizontal="center" vertical="center"/>
      <protection locked="0"/>
    </xf>
    <xf numFmtId="0" fontId="32" fillId="3" borderId="20" xfId="0" applyFont="1" applyFill="1" applyBorder="1" applyAlignment="1">
      <alignment horizontal="center" vertical="center"/>
    </xf>
    <xf numFmtId="1" fontId="31" fillId="2" borderId="20" xfId="0" applyNumberFormat="1" applyFont="1" applyFill="1" applyBorder="1" applyAlignment="1" applyProtection="1">
      <alignment horizontal="center" vertical="center"/>
      <protection locked="0"/>
    </xf>
    <xf numFmtId="2" fontId="31" fillId="2" borderId="20" xfId="0" applyNumberFormat="1" applyFont="1" applyFill="1" applyBorder="1" applyAlignment="1" applyProtection="1">
      <alignment horizontal="center" vertical="center"/>
      <protection locked="0"/>
    </xf>
    <xf numFmtId="0" fontId="31" fillId="2" borderId="20" xfId="0" applyFont="1" applyFill="1" applyBorder="1" applyAlignment="1" applyProtection="1">
      <alignment horizontal="center" vertical="center"/>
      <protection locked="0"/>
    </xf>
    <xf numFmtId="0" fontId="31" fillId="0" borderId="20" xfId="0" applyFont="1" applyBorder="1" applyAlignment="1">
      <alignment horizontal="center" vertical="center"/>
    </xf>
    <xf numFmtId="1" fontId="31" fillId="0" borderId="20" xfId="0" applyNumberFormat="1" applyFont="1" applyBorder="1" applyAlignment="1">
      <alignment horizontal="center" vertical="center"/>
    </xf>
    <xf numFmtId="1" fontId="32" fillId="5" borderId="20" xfId="0" applyNumberFormat="1" applyFont="1" applyFill="1" applyBorder="1" applyAlignment="1">
      <alignment horizontal="center" vertical="center"/>
    </xf>
    <xf numFmtId="1" fontId="32" fillId="6" borderId="20" xfId="0" applyNumberFormat="1" applyFont="1" applyFill="1" applyBorder="1" applyAlignment="1">
      <alignment horizontal="center" vertical="center" wrapText="1"/>
    </xf>
    <xf numFmtId="1" fontId="32" fillId="6" borderId="22" xfId="0" applyNumberFormat="1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3" borderId="0" xfId="0" applyFont="1" applyFill="1" applyAlignment="1">
      <alignment vertical="center"/>
    </xf>
    <xf numFmtId="0" fontId="31" fillId="0" borderId="0" xfId="0" applyFont="1" applyAlignment="1">
      <alignment vertical="center"/>
    </xf>
    <xf numFmtId="0" fontId="31" fillId="2" borderId="19" xfId="0" applyFont="1" applyFill="1" applyBorder="1" applyAlignment="1" applyProtection="1">
      <alignment horizontal="center"/>
      <protection locked="0"/>
    </xf>
    <xf numFmtId="0" fontId="32" fillId="3" borderId="20" xfId="0" applyFont="1" applyFill="1" applyBorder="1" applyAlignment="1">
      <alignment horizontal="center"/>
    </xf>
    <xf numFmtId="1" fontId="31" fillId="2" borderId="20" xfId="0" applyNumberFormat="1" applyFont="1" applyFill="1" applyBorder="1" applyAlignment="1" applyProtection="1">
      <alignment horizontal="center"/>
      <protection locked="0"/>
    </xf>
    <xf numFmtId="2" fontId="31" fillId="2" borderId="20" xfId="0" applyNumberFormat="1" applyFont="1" applyFill="1" applyBorder="1" applyAlignment="1" applyProtection="1">
      <alignment horizontal="center"/>
      <protection locked="0"/>
    </xf>
    <xf numFmtId="0" fontId="31" fillId="2" borderId="20" xfId="0" applyFont="1" applyFill="1" applyBorder="1" applyAlignment="1" applyProtection="1">
      <alignment horizontal="center"/>
      <protection locked="0"/>
    </xf>
    <xf numFmtId="0" fontId="31" fillId="0" borderId="20" xfId="0" applyFont="1" applyBorder="1" applyAlignment="1">
      <alignment horizontal="center"/>
    </xf>
    <xf numFmtId="1" fontId="31" fillId="0" borderId="20" xfId="0" applyNumberFormat="1" applyFont="1" applyBorder="1" applyAlignment="1">
      <alignment horizontal="center"/>
    </xf>
    <xf numFmtId="1" fontId="32" fillId="5" borderId="20" xfId="0" applyNumberFormat="1" applyFont="1" applyFill="1" applyBorder="1" applyAlignment="1">
      <alignment horizontal="center"/>
    </xf>
    <xf numFmtId="0" fontId="31" fillId="0" borderId="11" xfId="0" applyFont="1" applyBorder="1" applyAlignment="1">
      <alignment horizontal="center" wrapText="1"/>
    </xf>
    <xf numFmtId="0" fontId="31" fillId="3" borderId="0" xfId="0" applyFont="1" applyFill="1" applyAlignment="1">
      <alignment horizontal="center"/>
    </xf>
    <xf numFmtId="0" fontId="31" fillId="0" borderId="0" xfId="0" applyFont="1" applyAlignment="1">
      <alignment horizontal="center"/>
    </xf>
    <xf numFmtId="0" fontId="25" fillId="3" borderId="3" xfId="0" applyFont="1" applyFill="1" applyBorder="1" applyAlignment="1">
      <alignment vertical="center"/>
    </xf>
    <xf numFmtId="0" fontId="35" fillId="3" borderId="8" xfId="0" applyFont="1" applyFill="1" applyBorder="1" applyAlignment="1">
      <alignment vertical="top"/>
    </xf>
    <xf numFmtId="0" fontId="0" fillId="9" borderId="8" xfId="0" applyFill="1" applyBorder="1" applyAlignment="1">
      <alignment horizontal="left" vertical="top"/>
    </xf>
    <xf numFmtId="0" fontId="0" fillId="9" borderId="9" xfId="0" applyFill="1" applyBorder="1" applyAlignment="1">
      <alignment horizontal="left" vertical="top"/>
    </xf>
    <xf numFmtId="0" fontId="6" fillId="4" borderId="33" xfId="0" applyFont="1" applyFill="1" applyBorder="1" applyAlignment="1">
      <alignment horizontal="center" vertical="top" wrapText="1"/>
    </xf>
    <xf numFmtId="0" fontId="5" fillId="4" borderId="34" xfId="0" applyFont="1" applyFill="1" applyBorder="1" applyAlignment="1">
      <alignment horizontal="center" vertical="top" wrapText="1"/>
    </xf>
    <xf numFmtId="0" fontId="6" fillId="4" borderId="34" xfId="0" applyFont="1" applyFill="1" applyBorder="1" applyAlignment="1">
      <alignment horizontal="center" vertical="top" wrapText="1"/>
    </xf>
    <xf numFmtId="0" fontId="12" fillId="4" borderId="34" xfId="0" applyFont="1" applyFill="1" applyBorder="1" applyAlignment="1">
      <alignment horizontal="center" vertical="top" wrapText="1"/>
    </xf>
    <xf numFmtId="0" fontId="6" fillId="4" borderId="35" xfId="0" applyFont="1" applyFill="1" applyBorder="1" applyAlignment="1">
      <alignment horizontal="center" vertical="top" wrapText="1"/>
    </xf>
    <xf numFmtId="0" fontId="27" fillId="3" borderId="10" xfId="0" applyFont="1" applyFill="1" applyBorder="1" applyAlignment="1">
      <alignment horizontal="left" vertical="top" indent="1"/>
    </xf>
    <xf numFmtId="0" fontId="16" fillId="3" borderId="8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left"/>
    </xf>
    <xf numFmtId="0" fontId="21" fillId="3" borderId="10" xfId="0" applyFont="1" applyFill="1" applyBorder="1" applyAlignment="1">
      <alignment vertical="top"/>
    </xf>
    <xf numFmtId="0" fontId="11" fillId="3" borderId="8" xfId="0" applyFont="1" applyFill="1" applyBorder="1" applyAlignment="1">
      <alignment horizontal="right" vertical="center"/>
    </xf>
    <xf numFmtId="0" fontId="11" fillId="3" borderId="8" xfId="0" applyFont="1" applyFill="1" applyBorder="1" applyAlignment="1">
      <alignment vertical="center"/>
    </xf>
    <xf numFmtId="0" fontId="27" fillId="10" borderId="26" xfId="0" applyFont="1" applyFill="1" applyBorder="1" applyAlignment="1">
      <alignment horizontal="center" vertical="center"/>
    </xf>
    <xf numFmtId="0" fontId="27" fillId="10" borderId="6" xfId="0" applyFont="1" applyFill="1" applyBorder="1" applyAlignment="1">
      <alignment horizontal="center" vertical="center"/>
    </xf>
    <xf numFmtId="0" fontId="27" fillId="10" borderId="7" xfId="0" applyFont="1" applyFill="1" applyBorder="1" applyAlignment="1">
      <alignment horizontal="center" vertical="center"/>
    </xf>
    <xf numFmtId="0" fontId="13" fillId="7" borderId="3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3" fillId="7" borderId="9" xfId="0" applyFont="1" applyFill="1" applyBorder="1" applyAlignment="1">
      <alignment horizontal="center" vertical="center"/>
    </xf>
    <xf numFmtId="0" fontId="23" fillId="7" borderId="3" xfId="0" applyFont="1" applyFill="1" applyBorder="1" applyAlignment="1">
      <alignment horizontal="center" vertical="center"/>
    </xf>
    <xf numFmtId="0" fontId="23" fillId="7" borderId="4" xfId="0" applyFont="1" applyFill="1" applyBorder="1" applyAlignment="1">
      <alignment horizontal="center" vertical="center"/>
    </xf>
    <xf numFmtId="0" fontId="23" fillId="7" borderId="0" xfId="0" applyFont="1" applyFill="1" applyAlignment="1">
      <alignment horizontal="center" vertical="center"/>
    </xf>
    <xf numFmtId="0" fontId="23" fillId="7" borderId="15" xfId="0" applyFont="1" applyFill="1" applyBorder="1" applyAlignment="1">
      <alignment horizontal="center" vertical="center"/>
    </xf>
    <xf numFmtId="0" fontId="27" fillId="10" borderId="2" xfId="0" applyFont="1" applyFill="1" applyBorder="1" applyAlignment="1">
      <alignment horizontal="center" vertical="center"/>
    </xf>
    <xf numFmtId="0" fontId="27" fillId="10" borderId="3" xfId="0" applyFont="1" applyFill="1" applyBorder="1" applyAlignment="1">
      <alignment horizontal="center" vertical="center"/>
    </xf>
    <xf numFmtId="0" fontId="27" fillId="10" borderId="4" xfId="0" applyFont="1" applyFill="1" applyBorder="1" applyAlignment="1">
      <alignment horizontal="center" vertical="center"/>
    </xf>
    <xf numFmtId="0" fontId="24" fillId="3" borderId="3" xfId="0" applyFont="1" applyFill="1" applyBorder="1" applyAlignment="1">
      <alignment horizontal="left"/>
    </xf>
    <xf numFmtId="0" fontId="24" fillId="3" borderId="4" xfId="0" applyFont="1" applyFill="1" applyBorder="1" applyAlignment="1">
      <alignment horizontal="left"/>
    </xf>
    <xf numFmtId="0" fontId="37" fillId="3" borderId="8" xfId="0" applyFont="1" applyFill="1" applyBorder="1" applyAlignment="1">
      <alignment horizontal="left" vertical="top"/>
    </xf>
    <xf numFmtId="0" fontId="37" fillId="3" borderId="9" xfId="0" applyFont="1" applyFill="1" applyBorder="1" applyAlignment="1">
      <alignment horizontal="left" vertical="top"/>
    </xf>
    <xf numFmtId="0" fontId="25" fillId="3" borderId="3" xfId="0" applyFont="1" applyFill="1" applyBorder="1" applyAlignment="1">
      <alignment horizontal="left" vertical="center"/>
    </xf>
    <xf numFmtId="0" fontId="25" fillId="3" borderId="4" xfId="0" applyFont="1" applyFill="1" applyBorder="1" applyAlignment="1">
      <alignment horizontal="left" vertical="center"/>
    </xf>
    <xf numFmtId="0" fontId="36" fillId="3" borderId="8" xfId="0" applyFont="1" applyFill="1" applyBorder="1" applyAlignment="1">
      <alignment horizontal="left" vertical="center"/>
    </xf>
    <xf numFmtId="0" fontId="36" fillId="3" borderId="9" xfId="0" applyFont="1" applyFill="1" applyBorder="1" applyAlignment="1">
      <alignment horizontal="left" vertical="center"/>
    </xf>
    <xf numFmtId="0" fontId="36" fillId="3" borderId="8" xfId="0" applyFont="1" applyFill="1" applyBorder="1" applyAlignment="1">
      <alignment horizontal="left" vertical="top"/>
    </xf>
    <xf numFmtId="0" fontId="36" fillId="3" borderId="9" xfId="0" applyFont="1" applyFill="1" applyBorder="1" applyAlignment="1">
      <alignment horizontal="left" vertical="top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BBBA"/>
      <color rgb="FF057B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108858</xdr:colOff>
      <xdr:row>18</xdr:row>
      <xdr:rowOff>130631</xdr:rowOff>
    </xdr:from>
    <xdr:to>
      <xdr:col>8</xdr:col>
      <xdr:colOff>729342</xdr:colOff>
      <xdr:row>19</xdr:row>
      <xdr:rowOff>245756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79E9DB7-DA58-4266-8691-AFB97E902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2915" y="2797631"/>
          <a:ext cx="1774371" cy="702953"/>
        </a:xfrm>
        <a:prstGeom prst="rect">
          <a:avLst/>
        </a:prstGeom>
      </xdr:spPr>
    </xdr:pic>
    <xdr:clientData/>
  </xdr:twoCellAnchor>
  <xdr:twoCellAnchor editAs="oneCell">
    <xdr:from>
      <xdr:col>7</xdr:col>
      <xdr:colOff>108858</xdr:colOff>
      <xdr:row>0</xdr:row>
      <xdr:rowOff>152400</xdr:rowOff>
    </xdr:from>
    <xdr:to>
      <xdr:col>8</xdr:col>
      <xdr:colOff>729342</xdr:colOff>
      <xdr:row>1</xdr:row>
      <xdr:rowOff>267524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7258FA6-B243-4D9D-AFD4-786E660D3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2915" y="152400"/>
          <a:ext cx="1774371" cy="7029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117930</xdr:rowOff>
    </xdr:from>
    <xdr:to>
      <xdr:col>1</xdr:col>
      <xdr:colOff>863601</xdr:colOff>
      <xdr:row>1</xdr:row>
      <xdr:rowOff>345182</xdr:rowOff>
    </xdr:to>
    <xdr:pic>
      <xdr:nvPicPr>
        <xdr:cNvPr id="2" name="Picture 1" descr="A logo for a company&#10;&#10;Description automatically generated">
          <a:extLst>
            <a:ext uri="{FF2B5EF4-FFF2-40B4-BE49-F238E27FC236}">
              <a16:creationId xmlns:a16="http://schemas.microsoft.com/office/drawing/2014/main" id="{2A28AD50-8F47-406F-B4E7-12E354ECA6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17930"/>
          <a:ext cx="1371600" cy="64635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76200</xdr:rowOff>
    </xdr:from>
    <xdr:to>
      <xdr:col>1</xdr:col>
      <xdr:colOff>863600</xdr:colOff>
      <xdr:row>16</xdr:row>
      <xdr:rowOff>290752</xdr:rowOff>
    </xdr:to>
    <xdr:pic>
      <xdr:nvPicPr>
        <xdr:cNvPr id="3" name="Picture 2" descr="A logo for a company&#10;&#10;Description automatically generated">
          <a:extLst>
            <a:ext uri="{FF2B5EF4-FFF2-40B4-BE49-F238E27FC236}">
              <a16:creationId xmlns:a16="http://schemas.microsoft.com/office/drawing/2014/main" id="{3B5653CC-6B5D-4988-8CA2-A9E021C44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295900"/>
          <a:ext cx="1371600" cy="6463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313938</xdr:colOff>
      <xdr:row>0</xdr:row>
      <xdr:rowOff>63500</xdr:rowOff>
    </xdr:from>
    <xdr:to>
      <xdr:col>1</xdr:col>
      <xdr:colOff>762000</xdr:colOff>
      <xdr:row>1</xdr:row>
      <xdr:rowOff>301654</xdr:rowOff>
    </xdr:to>
    <xdr:pic>
      <xdr:nvPicPr>
        <xdr:cNvPr id="4" name="Picture 3" descr="A logo for a company&#10;&#10;Description automatically generated">
          <a:extLst>
            <a:ext uri="{FF2B5EF4-FFF2-40B4-BE49-F238E27FC236}">
              <a16:creationId xmlns:a16="http://schemas.microsoft.com/office/drawing/2014/main" id="{AA763F60-0FC6-4BB6-ADDF-FBA10847F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938" y="63500"/>
          <a:ext cx="1298962" cy="606454"/>
        </a:xfrm>
        <a:prstGeom prst="rect">
          <a:avLst/>
        </a:prstGeom>
      </xdr:spPr>
    </xdr:pic>
    <xdr:clientData/>
  </xdr:twoCellAnchor>
  <xdr:twoCellAnchor editAs="oneCell">
    <xdr:from>
      <xdr:col>0</xdr:col>
      <xdr:colOff>301238</xdr:colOff>
      <xdr:row>15</xdr:row>
      <xdr:rowOff>63500</xdr:rowOff>
    </xdr:from>
    <xdr:to>
      <xdr:col>1</xdr:col>
      <xdr:colOff>749300</xdr:colOff>
      <xdr:row>16</xdr:row>
      <xdr:rowOff>238154</xdr:rowOff>
    </xdr:to>
    <xdr:pic>
      <xdr:nvPicPr>
        <xdr:cNvPr id="3" name="Picture 2" descr="A logo for a company&#10;&#10;Description automatically generated">
          <a:extLst>
            <a:ext uri="{FF2B5EF4-FFF2-40B4-BE49-F238E27FC236}">
              <a16:creationId xmlns:a16="http://schemas.microsoft.com/office/drawing/2014/main" id="{34014AF3-F359-4D39-9047-1987FCF9C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238" y="4864100"/>
          <a:ext cx="1298962" cy="606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B598"/>
  <sheetViews>
    <sheetView tabSelected="1" zoomScale="75" zoomScaleNormal="75" workbookViewId="0">
      <selection activeCell="A4" sqref="A4"/>
    </sheetView>
  </sheetViews>
  <sheetFormatPr defaultColWidth="11.42578125" defaultRowHeight="15" x14ac:dyDescent="0.25"/>
  <cols>
    <col min="1" max="1" width="13.7109375" bestFit="1" customWidth="1"/>
    <col min="2" max="2" width="23.42578125" customWidth="1"/>
    <col min="3" max="3" width="15.140625" customWidth="1"/>
    <col min="4" max="4" width="15.42578125" customWidth="1"/>
    <col min="5" max="5" width="21.28515625" bestFit="1" customWidth="1"/>
    <col min="6" max="6" width="14.85546875" bestFit="1" customWidth="1"/>
    <col min="7" max="7" width="8.85546875" bestFit="1" customWidth="1"/>
    <col min="8" max="8" width="16.7109375" bestFit="1" customWidth="1"/>
    <col min="9" max="9" width="16.42578125" customWidth="1"/>
    <col min="10" max="10" width="12" bestFit="1" customWidth="1"/>
    <col min="11" max="11" width="11.28515625" bestFit="1" customWidth="1"/>
    <col min="12" max="13" width="10.85546875" customWidth="1"/>
    <col min="14" max="15" width="12.5703125" customWidth="1"/>
    <col min="16" max="17" width="14.5703125" bestFit="1" customWidth="1"/>
    <col min="18" max="18" width="14.28515625" customWidth="1"/>
    <col min="19" max="19" width="17.140625" style="3" hidden="1" customWidth="1"/>
    <col min="20" max="54" width="11.42578125" style="26"/>
  </cols>
  <sheetData>
    <row r="1" spans="1:54" s="66" customFormat="1" ht="46.5" x14ac:dyDescent="0.7">
      <c r="A1" s="58" t="s">
        <v>0</v>
      </c>
      <c r="B1" s="62"/>
      <c r="C1" s="63"/>
      <c r="D1" s="64"/>
      <c r="E1" s="64"/>
      <c r="F1" s="64"/>
      <c r="G1" s="64"/>
      <c r="H1" s="62"/>
      <c r="I1" s="62"/>
      <c r="J1" s="62"/>
      <c r="K1" s="62"/>
      <c r="L1" s="62"/>
      <c r="M1" s="62"/>
      <c r="N1" s="186" t="s">
        <v>1</v>
      </c>
      <c r="O1" s="186"/>
      <c r="P1" s="186"/>
      <c r="Q1" s="186"/>
      <c r="R1" s="187"/>
      <c r="S1" s="65"/>
    </row>
    <row r="2" spans="1:54" ht="34.15" customHeight="1" thickBot="1" x14ac:dyDescent="0.3">
      <c r="A2" s="169" t="s">
        <v>2</v>
      </c>
      <c r="B2" s="46"/>
      <c r="C2" s="59"/>
      <c r="D2" s="67"/>
      <c r="E2" s="67"/>
      <c r="F2" s="67"/>
      <c r="G2" s="67"/>
      <c r="H2" s="46"/>
      <c r="I2" s="46"/>
      <c r="J2" s="46"/>
      <c r="K2" s="46"/>
      <c r="L2" s="46"/>
      <c r="M2" s="46"/>
      <c r="N2" s="188"/>
      <c r="O2" s="188"/>
      <c r="P2" s="188"/>
      <c r="Q2" s="188"/>
      <c r="R2" s="189"/>
    </row>
    <row r="3" spans="1:54" ht="78.75" customHeight="1" thickBot="1" x14ac:dyDescent="0.3">
      <c r="A3" s="18" t="s">
        <v>3</v>
      </c>
      <c r="B3" s="19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1" t="s">
        <v>10</v>
      </c>
      <c r="I3" s="21" t="s">
        <v>11</v>
      </c>
      <c r="J3" s="21" t="s">
        <v>12</v>
      </c>
      <c r="K3" s="21" t="s">
        <v>13</v>
      </c>
      <c r="L3" s="21" t="s">
        <v>14</v>
      </c>
      <c r="M3" s="21" t="s">
        <v>15</v>
      </c>
      <c r="N3" s="20" t="s">
        <v>16</v>
      </c>
      <c r="O3" s="20" t="s">
        <v>17</v>
      </c>
      <c r="P3" s="20" t="s">
        <v>18</v>
      </c>
      <c r="Q3" s="22" t="s">
        <v>19</v>
      </c>
      <c r="R3" s="23" t="s">
        <v>20</v>
      </c>
      <c r="S3" s="13" t="s">
        <v>21</v>
      </c>
    </row>
    <row r="4" spans="1:54" s="156" customFormat="1" ht="21.75" thickBot="1" x14ac:dyDescent="0.3">
      <c r="A4" s="144"/>
      <c r="B4" s="145" t="e">
        <f>VLOOKUP(A4,'RT Calculator'!$K$2:$L$13,2,0)</f>
        <v>#N/A</v>
      </c>
      <c r="C4" s="146"/>
      <c r="D4" s="147"/>
      <c r="E4" s="147"/>
      <c r="F4" s="148"/>
      <c r="G4" s="149" t="str">
        <f t="shared" ref="G4:G11" si="0">IF(MOD(C4,2)=0,"Even","odd")</f>
        <v>Even</v>
      </c>
      <c r="H4" s="150">
        <f>E4*J4*25</f>
        <v>0</v>
      </c>
      <c r="I4" s="150">
        <f>E4*K4*25</f>
        <v>0</v>
      </c>
      <c r="J4" s="150">
        <f>IF('Single Run Calculator'!G4="EVEN",'Single Run Calculator'!C4/2,IF('Single Run Calculator'!F4="Grey",('Single Run Calculator'!C4-1)/2+1,('Single Run Calculator'!C4-1)/2))</f>
        <v>0</v>
      </c>
      <c r="K4" s="150">
        <f>IF('Single Run Calculator'!G4="EVEN",'Single Run Calculator'!C4/2,IF('Single Run Calculator'!F4="White",('Single Run Calculator'!C4-1)/2+1,('Single Run Calculator'!C4-1)/2))</f>
        <v>0</v>
      </c>
      <c r="L4" s="150" t="e">
        <f>((VLOOKUP(A4,'RT Calculator'!B2:D16,3,FALSE)*D4*J4)+H4)</f>
        <v>#N/A</v>
      </c>
      <c r="M4" s="150" t="e">
        <f>((VLOOKUP(A4,'RT Calculator'!B2:D16,3,FALSE)*D4*K4)+I4)</f>
        <v>#N/A</v>
      </c>
      <c r="N4" s="151" t="e">
        <f>ROUNDUP(L4/900,0)</f>
        <v>#N/A</v>
      </c>
      <c r="O4" s="151" t="e">
        <f t="shared" ref="O4" si="1">ROUNDUP(M4/900,0)</f>
        <v>#N/A</v>
      </c>
      <c r="P4" s="152" t="e">
        <f>ROUNDUP(N4/6,0)</f>
        <v>#N/A</v>
      </c>
      <c r="Q4" s="152" t="e">
        <f>ROUNDUP(O4/6,0)</f>
        <v>#N/A</v>
      </c>
      <c r="R4" s="153" t="e">
        <f>ROUNDUP((MAX(N4,O4)/3),0)</f>
        <v>#N/A</v>
      </c>
      <c r="S4" s="154">
        <f>A4</f>
        <v>0</v>
      </c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  <c r="AW4" s="155"/>
      <c r="AX4" s="155"/>
      <c r="AY4" s="155"/>
      <c r="AZ4" s="155"/>
      <c r="BA4" s="155"/>
      <c r="BB4" s="155"/>
    </row>
    <row r="5" spans="1:54" ht="28.5" hidden="1" customHeight="1" x14ac:dyDescent="0.4">
      <c r="A5" s="53" t="s">
        <v>22</v>
      </c>
      <c r="B5" s="14">
        <f>VLOOKUP(A5,'RT Calculator'!$K$2:$L$13,2,0)</f>
        <v>2</v>
      </c>
      <c r="C5" s="68">
        <v>2</v>
      </c>
      <c r="D5" s="69">
        <v>49</v>
      </c>
      <c r="E5" s="69">
        <v>49</v>
      </c>
      <c r="F5" s="70" t="s">
        <v>23</v>
      </c>
      <c r="G5" s="60" t="str">
        <f t="shared" si="0"/>
        <v>Even</v>
      </c>
      <c r="H5" s="24">
        <f t="shared" ref="H5:H11" si="2">E5*J5*25</f>
        <v>1225</v>
      </c>
      <c r="I5" s="24">
        <f t="shared" ref="I5:I11" si="3">E5*K5*25</f>
        <v>1225</v>
      </c>
      <c r="J5" s="24">
        <f>IF('Single Run Calculator'!G5="EVEN",'Single Run Calculator'!C5/2,IF('Single Run Calculator'!F5="Grey",('Single Run Calculator'!C5-1)/2+1,('Single Run Calculator'!C5-1)/2))</f>
        <v>1</v>
      </c>
      <c r="K5" s="24">
        <f>IF('Single Run Calculator'!G5="EVEN",'Single Run Calculator'!C5/2,IF('Single Run Calculator'!F5="White",('Single Run Calculator'!C5-1)/2+1,('Single Run Calculator'!C5-1)/2))</f>
        <v>1</v>
      </c>
      <c r="L5" s="24" t="e">
        <f>((VLOOKUP(A5,'RT Calculator'!B3:D17,3,FALSE)*D5*J5)+H5)</f>
        <v>#N/A</v>
      </c>
      <c r="M5" s="24" t="e">
        <f>((VLOOKUP(A5,'RT Calculator'!B3:D17,3,FALSE)*D5*K5)+I5)</f>
        <v>#N/A</v>
      </c>
      <c r="N5" s="15" t="e">
        <f t="shared" ref="N5:N13" si="4">ROUNDUP(L5/900,0)</f>
        <v>#N/A</v>
      </c>
      <c r="O5" s="15" t="e">
        <f t="shared" ref="O5:O13" si="5">ROUNDUP(M5/900,0)</f>
        <v>#N/A</v>
      </c>
      <c r="P5" s="16" t="e">
        <f t="shared" ref="P5:P13" si="6">ROUNDUP(N5/3,0)</f>
        <v>#N/A</v>
      </c>
      <c r="Q5" s="16" t="e">
        <f t="shared" ref="Q5:Q13" si="7">ROUNDUP(O5/3,0)</f>
        <v>#N/A</v>
      </c>
      <c r="R5" s="25" t="e">
        <f t="shared" ref="R5:R13" si="8">IF(P5&gt;Q5,P5,Q5)</f>
        <v>#N/A</v>
      </c>
      <c r="S5" s="71" t="str">
        <f t="shared" ref="S5:S13" si="9">A5</f>
        <v>1.25"</v>
      </c>
    </row>
    <row r="6" spans="1:54" ht="27" hidden="1" customHeight="1" x14ac:dyDescent="0.4">
      <c r="A6" s="32" t="s">
        <v>24</v>
      </c>
      <c r="B6" s="4">
        <f>VLOOKUP(A6,'RT Calculator'!$K$2:$L$13,2,0)</f>
        <v>2</v>
      </c>
      <c r="C6" s="72">
        <v>2</v>
      </c>
      <c r="D6" s="73">
        <v>49</v>
      </c>
      <c r="E6" s="73">
        <v>49</v>
      </c>
      <c r="F6" s="74" t="s">
        <v>23</v>
      </c>
      <c r="G6" s="61" t="str">
        <f t="shared" si="0"/>
        <v>Even</v>
      </c>
      <c r="H6" s="7">
        <f t="shared" si="2"/>
        <v>1225</v>
      </c>
      <c r="I6" s="7">
        <f t="shared" si="3"/>
        <v>1225</v>
      </c>
      <c r="J6" s="7">
        <f>IF('Single Run Calculator'!G6="EVEN",'Single Run Calculator'!C6/2,IF('Single Run Calculator'!F6="Grey",('Single Run Calculator'!C6-1)/2+1,('Single Run Calculator'!C6-1)/2))</f>
        <v>1</v>
      </c>
      <c r="K6" s="7">
        <f>IF('Single Run Calculator'!G6="EVEN",'Single Run Calculator'!C6/2,IF('Single Run Calculator'!F6="White",('Single Run Calculator'!C6-1)/2+1,('Single Run Calculator'!C6-1)/2))</f>
        <v>1</v>
      </c>
      <c r="L6" s="7">
        <f>((VLOOKUP(A6,'RT Calculator'!B4:D18,3,FALSE)*D6*J6)+H6)</f>
        <v>3160.1570000000002</v>
      </c>
      <c r="M6" s="7">
        <f>((VLOOKUP(A6,'RT Calculator'!B4:D18,3,FALSE)*D6*K6)+I6)</f>
        <v>3160.1570000000002</v>
      </c>
      <c r="N6" s="5">
        <f t="shared" si="4"/>
        <v>4</v>
      </c>
      <c r="O6" s="5">
        <f t="shared" si="5"/>
        <v>4</v>
      </c>
      <c r="P6" s="6">
        <f t="shared" si="6"/>
        <v>2</v>
      </c>
      <c r="Q6" s="6">
        <f t="shared" si="7"/>
        <v>2</v>
      </c>
      <c r="R6" s="17">
        <f t="shared" si="8"/>
        <v>2</v>
      </c>
      <c r="S6" s="71" t="str">
        <f t="shared" si="9"/>
        <v>2"</v>
      </c>
    </row>
    <row r="7" spans="1:54" ht="27" hidden="1" customHeight="1" x14ac:dyDescent="0.4">
      <c r="A7" s="32" t="s">
        <v>25</v>
      </c>
      <c r="B7" s="4">
        <f>VLOOKUP(A7,'RT Calculator'!$K$2:$L$13,2,0)</f>
        <v>2</v>
      </c>
      <c r="C7" s="72">
        <v>2</v>
      </c>
      <c r="D7" s="73">
        <v>49</v>
      </c>
      <c r="E7" s="73">
        <v>49</v>
      </c>
      <c r="F7" s="74" t="s">
        <v>23</v>
      </c>
      <c r="G7" s="61" t="str">
        <f t="shared" ref="G7" si="10">IF(MOD(C7,2)=0,"Even","odd")</f>
        <v>Even</v>
      </c>
      <c r="H7" s="7">
        <f t="shared" ref="H7" si="11">E7*J7*25</f>
        <v>1225</v>
      </c>
      <c r="I7" s="7">
        <f t="shared" ref="I7" si="12">E7*K7*25</f>
        <v>1225</v>
      </c>
      <c r="J7" s="7">
        <f>IF('Single Run Calculator'!G7="EVEN",'Single Run Calculator'!C7/2,IF('Single Run Calculator'!F7="Grey",('Single Run Calculator'!C7-1)/2+1,('Single Run Calculator'!C7-1)/2))</f>
        <v>1</v>
      </c>
      <c r="K7" s="7">
        <f>IF('Single Run Calculator'!G7="EVEN",'Single Run Calculator'!C7/2,IF('Single Run Calculator'!F7="White",('Single Run Calculator'!C7-1)/2+1,('Single Run Calculator'!C7-1)/2))</f>
        <v>1</v>
      </c>
      <c r="L7" s="7">
        <f>((VLOOKUP(A7,'RT Calculator'!B5:D19,3,FALSE)*D7*J7)+H7)</f>
        <v>3539.319</v>
      </c>
      <c r="M7" s="7">
        <f>((VLOOKUP(A7,'RT Calculator'!B5:D19,3,FALSE)*D7*K7)+I7)</f>
        <v>3539.319</v>
      </c>
      <c r="N7" s="5">
        <f t="shared" ref="N7" si="13">ROUNDUP(L7/900,0)</f>
        <v>4</v>
      </c>
      <c r="O7" s="5">
        <f t="shared" ref="O7" si="14">ROUNDUP(M7/900,0)</f>
        <v>4</v>
      </c>
      <c r="P7" s="6">
        <f t="shared" ref="P7" si="15">ROUNDUP(N7/3,0)</f>
        <v>2</v>
      </c>
      <c r="Q7" s="6">
        <f t="shared" ref="Q7" si="16">ROUNDUP(O7/3,0)</f>
        <v>2</v>
      </c>
      <c r="R7" s="17">
        <f t="shared" ref="R7" si="17">IF(P7&gt;Q7,P7,Q7)</f>
        <v>2</v>
      </c>
      <c r="S7" s="71" t="str">
        <f t="shared" si="9"/>
        <v>2.5"</v>
      </c>
    </row>
    <row r="8" spans="1:54" ht="26.25" hidden="1" x14ac:dyDescent="0.4">
      <c r="A8" s="32" t="s">
        <v>26</v>
      </c>
      <c r="B8" s="4" t="str">
        <f>VLOOKUP(A8,'RT Calculator'!$K$2:$L$13,2,0)</f>
        <v>3 to 4</v>
      </c>
      <c r="C8" s="72">
        <v>3</v>
      </c>
      <c r="D8" s="73">
        <v>49</v>
      </c>
      <c r="E8" s="73">
        <v>49</v>
      </c>
      <c r="F8" s="74" t="s">
        <v>23</v>
      </c>
      <c r="G8" s="61" t="str">
        <f t="shared" si="0"/>
        <v>odd</v>
      </c>
      <c r="H8" s="7">
        <f t="shared" si="2"/>
        <v>1225</v>
      </c>
      <c r="I8" s="7">
        <f t="shared" si="3"/>
        <v>2450</v>
      </c>
      <c r="J8" s="7">
        <f>IF('Single Run Calculator'!G8="EVEN",'Single Run Calculator'!C8/2,IF('Single Run Calculator'!F8="Grey",('Single Run Calculator'!C8-1)/2+1,('Single Run Calculator'!C8-1)/2))</f>
        <v>1</v>
      </c>
      <c r="K8" s="7">
        <f>IF('Single Run Calculator'!G8="EVEN",'Single Run Calculator'!C8/2,IF('Single Run Calculator'!F8="White",('Single Run Calculator'!C8-1)/2+1,('Single Run Calculator'!C8-1)/2))</f>
        <v>2</v>
      </c>
      <c r="L8" s="7">
        <f>((VLOOKUP(A8,'RT Calculator'!B5:D19,3,FALSE)*D8*J8)+H8)</f>
        <v>4100.9079999999994</v>
      </c>
      <c r="M8" s="7">
        <f>((VLOOKUP(A8,'RT Calculator'!B5:D19,3,FALSE)*D8*K8)+I8)</f>
        <v>8201.8159999999989</v>
      </c>
      <c r="N8" s="5">
        <f t="shared" si="4"/>
        <v>5</v>
      </c>
      <c r="O8" s="5">
        <f t="shared" si="5"/>
        <v>10</v>
      </c>
      <c r="P8" s="6">
        <f t="shared" si="6"/>
        <v>2</v>
      </c>
      <c r="Q8" s="6">
        <f t="shared" si="7"/>
        <v>4</v>
      </c>
      <c r="R8" s="17">
        <f t="shared" si="8"/>
        <v>4</v>
      </c>
      <c r="S8" s="71" t="str">
        <f t="shared" si="9"/>
        <v>3"</v>
      </c>
    </row>
    <row r="9" spans="1:54" ht="26.25" hidden="1" x14ac:dyDescent="0.4">
      <c r="A9" s="32" t="s">
        <v>27</v>
      </c>
      <c r="B9" s="4" t="str">
        <f>VLOOKUP(A9,'RT Calculator'!$K$2:$L$13,2,0)</f>
        <v>3 to 4</v>
      </c>
      <c r="C9" s="72">
        <v>3</v>
      </c>
      <c r="D9" s="73">
        <v>49</v>
      </c>
      <c r="E9" s="73">
        <v>49</v>
      </c>
      <c r="F9" s="74" t="s">
        <v>23</v>
      </c>
      <c r="G9" s="61" t="str">
        <f t="shared" si="0"/>
        <v>odd</v>
      </c>
      <c r="H9" s="7">
        <f t="shared" si="2"/>
        <v>1225</v>
      </c>
      <c r="I9" s="7">
        <f t="shared" si="3"/>
        <v>2450</v>
      </c>
      <c r="J9" s="7">
        <f>IF('Single Run Calculator'!G9="EVEN",'Single Run Calculator'!C9/2,IF('Single Run Calculator'!F9="Grey",('Single Run Calculator'!C9-1)/2+1,('Single Run Calculator'!C9-1)/2))</f>
        <v>1</v>
      </c>
      <c r="K9" s="7">
        <f>IF('Single Run Calculator'!G9="EVEN",'Single Run Calculator'!C9/2,IF('Single Run Calculator'!F9="White",('Single Run Calculator'!C9-1)/2+1,('Single Run Calculator'!C9-1)/2))</f>
        <v>2</v>
      </c>
      <c r="L9" s="7">
        <f>((VLOOKUP(A9,'RT Calculator'!B6:D20,3,FALSE)*D9*J9)+H9)</f>
        <v>4991.5810000000001</v>
      </c>
      <c r="M9" s="7">
        <f>((VLOOKUP(A9,'RT Calculator'!B6:D20,3,FALSE)*D9*K9)+I9)</f>
        <v>9983.1620000000003</v>
      </c>
      <c r="N9" s="5">
        <f t="shared" si="4"/>
        <v>6</v>
      </c>
      <c r="O9" s="5">
        <f t="shared" si="5"/>
        <v>12</v>
      </c>
      <c r="P9" s="6">
        <f t="shared" si="6"/>
        <v>2</v>
      </c>
      <c r="Q9" s="6">
        <f t="shared" si="7"/>
        <v>4</v>
      </c>
      <c r="R9" s="17">
        <f t="shared" si="8"/>
        <v>4</v>
      </c>
      <c r="S9" s="71" t="str">
        <f t="shared" si="9"/>
        <v>4"</v>
      </c>
    </row>
    <row r="10" spans="1:54" ht="26.25" hidden="1" x14ac:dyDescent="0.4">
      <c r="A10" s="32" t="s">
        <v>28</v>
      </c>
      <c r="B10" s="4" t="str">
        <f>VLOOKUP(A10,'RT Calculator'!$K$2:$L$13,2,0)</f>
        <v>3 to 4</v>
      </c>
      <c r="C10" s="72">
        <v>3</v>
      </c>
      <c r="D10" s="73">
        <v>49</v>
      </c>
      <c r="E10" s="73">
        <v>49</v>
      </c>
      <c r="F10" s="74" t="s">
        <v>23</v>
      </c>
      <c r="G10" s="61" t="str">
        <f t="shared" ref="G10" si="18">IF(MOD(C10,2)=0,"Even","odd")</f>
        <v>odd</v>
      </c>
      <c r="H10" s="7">
        <f t="shared" ref="H10" si="19">E10*J10*25</f>
        <v>1225</v>
      </c>
      <c r="I10" s="7">
        <f t="shared" ref="I10" si="20">E10*K10*25</f>
        <v>2450</v>
      </c>
      <c r="J10" s="7">
        <f>IF('Single Run Calculator'!G10="EVEN",'Single Run Calculator'!C10/2,IF('Single Run Calculator'!F10="Grey",('Single Run Calculator'!C10-1)/2+1,('Single Run Calculator'!C10-1)/2))</f>
        <v>1</v>
      </c>
      <c r="K10" s="7">
        <f>IF('Single Run Calculator'!G10="EVEN",'Single Run Calculator'!C10/2,IF('Single Run Calculator'!F10="White",('Single Run Calculator'!C10-1)/2+1,('Single Run Calculator'!C10-1)/2))</f>
        <v>2</v>
      </c>
      <c r="L10" s="7">
        <f>((VLOOKUP(A10,'RT Calculator'!B7:D21,3,FALSE)*D10*J10)+H10)</f>
        <v>5946.64</v>
      </c>
      <c r="M10" s="7">
        <f>((VLOOKUP(A10,'RT Calculator'!B7:D21,3,FALSE)*D10*K10)+I10)</f>
        <v>11893.28</v>
      </c>
      <c r="N10" s="5">
        <f t="shared" ref="N10" si="21">ROUNDUP(L10/900,0)</f>
        <v>7</v>
      </c>
      <c r="O10" s="5">
        <f t="shared" ref="O10" si="22">ROUNDUP(M10/900,0)</f>
        <v>14</v>
      </c>
      <c r="P10" s="6">
        <f t="shared" ref="P10" si="23">ROUNDUP(N10/3,0)</f>
        <v>3</v>
      </c>
      <c r="Q10" s="6">
        <f t="shared" ref="Q10" si="24">ROUNDUP(O10/3,0)</f>
        <v>5</v>
      </c>
      <c r="R10" s="17">
        <f t="shared" ref="R10" si="25">IF(P10&gt;Q10,P10,Q10)</f>
        <v>5</v>
      </c>
      <c r="S10" s="71" t="str">
        <f t="shared" si="9"/>
        <v>5"</v>
      </c>
    </row>
    <row r="11" spans="1:54" ht="26.25" hidden="1" x14ac:dyDescent="0.4">
      <c r="A11" s="32" t="s">
        <v>29</v>
      </c>
      <c r="B11" s="4" t="str">
        <f>VLOOKUP(A11,'RT Calculator'!$K$2:$L$13,2,0)</f>
        <v>4 to 5</v>
      </c>
      <c r="C11" s="72">
        <v>4</v>
      </c>
      <c r="D11" s="73">
        <v>49</v>
      </c>
      <c r="E11" s="73">
        <v>49</v>
      </c>
      <c r="F11" s="74" t="s">
        <v>23</v>
      </c>
      <c r="G11" s="61" t="str">
        <f t="shared" si="0"/>
        <v>Even</v>
      </c>
      <c r="H11" s="7">
        <f t="shared" si="2"/>
        <v>2450</v>
      </c>
      <c r="I11" s="7">
        <f t="shared" si="3"/>
        <v>2450</v>
      </c>
      <c r="J11" s="7">
        <f>IF('Single Run Calculator'!G11="EVEN",'Single Run Calculator'!C11/2,IF('Single Run Calculator'!F11="Grey",('Single Run Calculator'!C11-1)/2+1,('Single Run Calculator'!C11-1)/2))</f>
        <v>2</v>
      </c>
      <c r="K11" s="7">
        <f>IF('Single Run Calculator'!G11="EVEN",'Single Run Calculator'!C11/2,IF('Single Run Calculator'!F11="White",('Single Run Calculator'!C11-1)/2+1,('Single Run Calculator'!C11-1)/2))</f>
        <v>2</v>
      </c>
      <c r="L11" s="7">
        <f>((VLOOKUP(A11,'RT Calculator'!B7:D21,3,FALSE)*D11*J11)+H11)</f>
        <v>13824.86</v>
      </c>
      <c r="M11" s="7">
        <f>((VLOOKUP(A11,'RT Calculator'!B7:D21,3,FALSE)*D11*K11)+I11)</f>
        <v>13824.86</v>
      </c>
      <c r="N11" s="5">
        <f t="shared" si="4"/>
        <v>16</v>
      </c>
      <c r="O11" s="5">
        <f t="shared" si="5"/>
        <v>16</v>
      </c>
      <c r="P11" s="6">
        <f t="shared" si="6"/>
        <v>6</v>
      </c>
      <c r="Q11" s="6">
        <f t="shared" si="7"/>
        <v>6</v>
      </c>
      <c r="R11" s="17">
        <f t="shared" si="8"/>
        <v>6</v>
      </c>
      <c r="S11" s="71" t="str">
        <f t="shared" si="9"/>
        <v>6"</v>
      </c>
    </row>
    <row r="12" spans="1:54" ht="26.25" hidden="1" x14ac:dyDescent="0.4">
      <c r="A12" s="32" t="s">
        <v>30</v>
      </c>
      <c r="B12" s="4" t="str">
        <f>VLOOKUP(A12,'RT Calculator'!$K$2:$L$13,2,0)</f>
        <v>5 to 6</v>
      </c>
      <c r="C12" s="72">
        <v>5</v>
      </c>
      <c r="D12" s="73">
        <v>49</v>
      </c>
      <c r="E12" s="73">
        <v>49</v>
      </c>
      <c r="F12" s="74" t="s">
        <v>23</v>
      </c>
      <c r="G12" s="61" t="str">
        <f t="shared" ref="G12:G13" si="26">IF(MOD(C12,2)=0,"Even","odd")</f>
        <v>odd</v>
      </c>
      <c r="H12" s="7">
        <f t="shared" ref="H12:H13" si="27">E12*J12*25</f>
        <v>2450</v>
      </c>
      <c r="I12" s="7">
        <f t="shared" ref="I12:I13" si="28">E12*K12*25</f>
        <v>3675</v>
      </c>
      <c r="J12" s="7">
        <f>IF('Single Run Calculator'!G12="EVEN",'Single Run Calculator'!C12/2,IF('Single Run Calculator'!F12="Grey",('Single Run Calculator'!C12-1)/2+1,('Single Run Calculator'!C12-1)/2))</f>
        <v>2</v>
      </c>
      <c r="K12" s="7">
        <f>IF('Single Run Calculator'!G12="EVEN",'Single Run Calculator'!C12/2,IF('Single Run Calculator'!F12="White",('Single Run Calculator'!C12-1)/2+1,('Single Run Calculator'!C12-1)/2))</f>
        <v>3</v>
      </c>
      <c r="L12" s="7">
        <f>((VLOOKUP(A12,'RT Calculator'!B8:D22,3,FALSE)*D12*J12)+H12)</f>
        <v>17258.78</v>
      </c>
      <c r="M12" s="7">
        <f>((VLOOKUP(A12,'RT Calculator'!B8:D22,3,FALSE)*D12*K12)+I12)</f>
        <v>25888.17</v>
      </c>
      <c r="N12" s="5">
        <f t="shared" si="4"/>
        <v>20</v>
      </c>
      <c r="O12" s="5">
        <f t="shared" si="5"/>
        <v>29</v>
      </c>
      <c r="P12" s="6">
        <f t="shared" si="6"/>
        <v>7</v>
      </c>
      <c r="Q12" s="6">
        <f t="shared" si="7"/>
        <v>10</v>
      </c>
      <c r="R12" s="17">
        <f t="shared" si="8"/>
        <v>10</v>
      </c>
      <c r="S12" s="71" t="str">
        <f t="shared" si="9"/>
        <v>8"</v>
      </c>
    </row>
    <row r="13" spans="1:54" ht="26.25" hidden="1" x14ac:dyDescent="0.4">
      <c r="A13" s="32" t="s">
        <v>31</v>
      </c>
      <c r="B13" s="4" t="str">
        <f>VLOOKUP(A13,'RT Calculator'!$K$2:$L$13,2,0)</f>
        <v>6 to 7</v>
      </c>
      <c r="C13" s="72">
        <v>8</v>
      </c>
      <c r="D13" s="73">
        <v>49</v>
      </c>
      <c r="E13" s="73">
        <v>49</v>
      </c>
      <c r="F13" s="74" t="s">
        <v>23</v>
      </c>
      <c r="G13" s="61" t="str">
        <f t="shared" si="26"/>
        <v>Even</v>
      </c>
      <c r="H13" s="7">
        <f t="shared" si="27"/>
        <v>4900</v>
      </c>
      <c r="I13" s="7">
        <f t="shared" si="28"/>
        <v>4900</v>
      </c>
      <c r="J13" s="7">
        <f>IF('Single Run Calculator'!G13="EVEN",'Single Run Calculator'!C13/2,IF('Single Run Calculator'!F13="Grey",('Single Run Calculator'!C13-1)/2+1,('Single Run Calculator'!C13-1)/2))</f>
        <v>4</v>
      </c>
      <c r="K13" s="7">
        <f>IF('Single Run Calculator'!G13="EVEN",'Single Run Calculator'!C13/2,IF('Single Run Calculator'!F13="White",('Single Run Calculator'!C13-1)/2+1,('Single Run Calculator'!C13-1)/2))</f>
        <v>4</v>
      </c>
      <c r="L13" s="7">
        <f>((VLOOKUP(A13,'RT Calculator'!B9:D23,3,FALSE)*D13*J13)+H13)</f>
        <v>38666.879999999997</v>
      </c>
      <c r="M13" s="7">
        <f>((VLOOKUP(A13,'RT Calculator'!B9:D23,3,FALSE)*D13*K13)+I13)</f>
        <v>38666.879999999997</v>
      </c>
      <c r="N13" s="5">
        <f t="shared" si="4"/>
        <v>43</v>
      </c>
      <c r="O13" s="5">
        <f t="shared" si="5"/>
        <v>43</v>
      </c>
      <c r="P13" s="6">
        <f t="shared" si="6"/>
        <v>15</v>
      </c>
      <c r="Q13" s="6">
        <f t="shared" si="7"/>
        <v>15</v>
      </c>
      <c r="R13" s="17">
        <f t="shared" si="8"/>
        <v>15</v>
      </c>
      <c r="S13" s="71" t="str">
        <f t="shared" si="9"/>
        <v>9"</v>
      </c>
    </row>
    <row r="14" spans="1:54" s="26" customFormat="1" ht="17.45" hidden="1" customHeight="1" x14ac:dyDescent="0.25">
      <c r="A14" s="75"/>
      <c r="B14" s="12"/>
      <c r="C14" s="76"/>
      <c r="D14" s="77"/>
      <c r="E14" s="77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R14" s="78"/>
      <c r="S14" s="48"/>
    </row>
    <row r="15" spans="1:54" s="26" customFormat="1" ht="9" hidden="1" customHeight="1" x14ac:dyDescent="0.35">
      <c r="A15" s="79"/>
      <c r="C15" s="80"/>
      <c r="D15" s="80"/>
      <c r="E15" s="80"/>
      <c r="F15" s="80"/>
      <c r="G15" s="80"/>
      <c r="H15" s="80"/>
      <c r="R15" s="78"/>
      <c r="S15" s="48"/>
    </row>
    <row r="16" spans="1:54" s="26" customFormat="1" ht="3" hidden="1" customHeight="1" x14ac:dyDescent="0.35">
      <c r="A16" s="79"/>
      <c r="C16" s="80"/>
      <c r="D16" s="80"/>
      <c r="E16" s="80"/>
      <c r="F16" s="80"/>
      <c r="G16" s="80"/>
      <c r="H16" s="80"/>
      <c r="R16" s="78"/>
      <c r="S16" s="48"/>
    </row>
    <row r="17" spans="1:54" ht="10.9" customHeight="1" thickBot="1" x14ac:dyDescent="0.3">
      <c r="A17" s="9"/>
      <c r="B17" s="11"/>
      <c r="C17" s="11"/>
      <c r="D17" s="11"/>
      <c r="E17" s="9"/>
      <c r="F17" s="9"/>
      <c r="G17" s="9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40"/>
      <c r="S17" s="10"/>
      <c r="T17" s="39"/>
      <c r="BA17"/>
      <c r="BB17"/>
    </row>
    <row r="18" spans="1:54" ht="16.5" thickBot="1" x14ac:dyDescent="0.3">
      <c r="A18" s="183" t="s">
        <v>32</v>
      </c>
      <c r="B18" s="184"/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5"/>
      <c r="S18" s="10"/>
      <c r="T18" s="39"/>
      <c r="BA18"/>
      <c r="BB18"/>
    </row>
    <row r="19" spans="1:54" s="26" customFormat="1" ht="46.5" x14ac:dyDescent="0.25">
      <c r="A19" s="168" t="s">
        <v>33</v>
      </c>
      <c r="B19" s="51"/>
      <c r="C19" s="81"/>
      <c r="D19" s="81"/>
      <c r="E19" s="81"/>
      <c r="F19" s="81"/>
      <c r="G19" s="81"/>
      <c r="H19" s="81"/>
      <c r="I19" s="51"/>
      <c r="J19" s="51"/>
      <c r="K19" s="51"/>
      <c r="L19" s="51"/>
      <c r="M19" s="51"/>
      <c r="N19" s="186" t="s">
        <v>1</v>
      </c>
      <c r="O19" s="186"/>
      <c r="P19" s="186"/>
      <c r="Q19" s="186"/>
      <c r="R19" s="187"/>
      <c r="S19" s="48"/>
    </row>
    <row r="20" spans="1:54" ht="31.15" customHeight="1" thickBot="1" x14ac:dyDescent="0.3">
      <c r="A20" s="169" t="s">
        <v>2</v>
      </c>
      <c r="B20" s="46"/>
      <c r="C20" s="59"/>
      <c r="D20" s="59"/>
      <c r="E20" s="59"/>
      <c r="F20" s="59"/>
      <c r="G20" s="59"/>
      <c r="H20" s="82"/>
      <c r="I20" s="46"/>
      <c r="J20" s="46"/>
      <c r="K20" s="46"/>
      <c r="L20" s="46"/>
      <c r="M20" s="46"/>
      <c r="N20" s="188"/>
      <c r="O20" s="188"/>
      <c r="P20" s="188"/>
      <c r="Q20" s="188"/>
      <c r="R20" s="189"/>
    </row>
    <row r="21" spans="1:54" ht="88.5" thickBot="1" x14ac:dyDescent="0.3">
      <c r="A21" s="18" t="s">
        <v>34</v>
      </c>
      <c r="B21" s="19" t="s">
        <v>4</v>
      </c>
      <c r="C21" s="20" t="s">
        <v>5</v>
      </c>
      <c r="D21" s="20" t="s">
        <v>35</v>
      </c>
      <c r="E21" s="20" t="s">
        <v>36</v>
      </c>
      <c r="F21" s="20" t="s">
        <v>8</v>
      </c>
      <c r="G21" s="20" t="s">
        <v>9</v>
      </c>
      <c r="H21" s="21" t="s">
        <v>10</v>
      </c>
      <c r="I21" s="21" t="s">
        <v>11</v>
      </c>
      <c r="J21" s="21" t="s">
        <v>12</v>
      </c>
      <c r="K21" s="21" t="s">
        <v>13</v>
      </c>
      <c r="L21" s="21" t="s">
        <v>14</v>
      </c>
      <c r="M21" s="21" t="s">
        <v>15</v>
      </c>
      <c r="N21" s="20" t="s">
        <v>16</v>
      </c>
      <c r="O21" s="20" t="s">
        <v>17</v>
      </c>
      <c r="P21" s="20" t="s">
        <v>18</v>
      </c>
      <c r="Q21" s="22" t="s">
        <v>19</v>
      </c>
      <c r="R21" s="23" t="s">
        <v>20</v>
      </c>
      <c r="S21" s="13" t="s">
        <v>21</v>
      </c>
    </row>
    <row r="22" spans="1:54" s="167" customFormat="1" ht="21.75" thickBot="1" x14ac:dyDescent="0.4">
      <c r="A22" s="157"/>
      <c r="B22" s="158" t="e">
        <f>VLOOKUP(A22,'RT Calculator'!$H$2:$I$13,2,0)</f>
        <v>#N/A</v>
      </c>
      <c r="C22" s="159"/>
      <c r="D22" s="160"/>
      <c r="E22" s="160"/>
      <c r="F22" s="161"/>
      <c r="G22" s="162" t="str">
        <f t="shared" ref="G22:G27" si="29">IF(MOD(C22,2)=0,"Even","odd")</f>
        <v>Even</v>
      </c>
      <c r="H22" s="163">
        <f t="shared" ref="H22:H27" si="30">(E22*3.28084)*J22*25</f>
        <v>0</v>
      </c>
      <c r="I22" s="163">
        <f>(E22*3.28084)*K22*25</f>
        <v>0</v>
      </c>
      <c r="J22" s="163">
        <f>IF('Single Run Calculator'!G22="EVEN",'Single Run Calculator'!C22/2,IF('Single Run Calculator'!F22="Grey",('Single Run Calculator'!C22-1)/2+1,('Single Run Calculator'!C22-1)/2))</f>
        <v>0</v>
      </c>
      <c r="K22" s="163">
        <f>IF('Single Run Calculator'!G22="EVEN",'Single Run Calculator'!C22/2,IF('Single Run Calculator'!F22="White",('Single Run Calculator'!C22-1)/2+1,('Single Run Calculator'!C22-1)/2))</f>
        <v>0</v>
      </c>
      <c r="L22" s="163" t="e">
        <f>((VLOOKUP(A22,'RT Calculator'!A2:D16,4,FALSE)*(D22*3.28084)*J22)+H22)</f>
        <v>#N/A</v>
      </c>
      <c r="M22" s="163" t="e">
        <f>((VLOOKUP(A22,'RT Calculator'!A2:D16,4,FALSE)*(D22*3.28084)*K22)+I22)</f>
        <v>#N/A</v>
      </c>
      <c r="N22" s="164" t="e">
        <f>ROUNDUP(L22/900,0)</f>
        <v>#N/A</v>
      </c>
      <c r="O22" s="164" t="e">
        <f>ROUNDUP(M22/900,0)</f>
        <v>#N/A</v>
      </c>
      <c r="P22" s="152" t="e">
        <f>ROUNDUP(N22/6,0)</f>
        <v>#N/A</v>
      </c>
      <c r="Q22" s="152" t="e">
        <f>ROUNDUP(O22/6,0)</f>
        <v>#N/A</v>
      </c>
      <c r="R22" s="153" t="e">
        <f>ROUNDUP((MAX(N22,O22)/3),0)</f>
        <v>#N/A</v>
      </c>
      <c r="S22" s="165">
        <f>A22</f>
        <v>0</v>
      </c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6"/>
      <c r="BA22" s="166"/>
      <c r="BB22" s="166"/>
    </row>
    <row r="23" spans="1:54" ht="25.15" hidden="1" customHeight="1" x14ac:dyDescent="0.4">
      <c r="A23" s="60" t="s">
        <v>37</v>
      </c>
      <c r="B23" s="14">
        <f>VLOOKUP(A23,'RT Calculator'!$H$2:$I$13,2,0)</f>
        <v>2</v>
      </c>
      <c r="C23" s="68">
        <v>2</v>
      </c>
      <c r="D23" s="69">
        <v>15</v>
      </c>
      <c r="E23" s="69">
        <v>15</v>
      </c>
      <c r="F23" s="70" t="s">
        <v>23</v>
      </c>
      <c r="G23" s="60" t="str">
        <f t="shared" si="29"/>
        <v>Even</v>
      </c>
      <c r="H23" s="24">
        <f t="shared" si="30"/>
        <v>1230.3150000000001</v>
      </c>
      <c r="I23" s="24">
        <f t="shared" ref="I23:I31" si="31">(E23*3.28084)*K23*25</f>
        <v>1230.3150000000001</v>
      </c>
      <c r="J23" s="24">
        <f>IF('Single Run Calculator'!G23="EVEN",'Single Run Calculator'!C23/2,IF('Single Run Calculator'!F23="Grey",('Single Run Calculator'!C23-1)/2+1,('Single Run Calculator'!C23-1)/2))</f>
        <v>1</v>
      </c>
      <c r="K23" s="24">
        <f>IF('Single Run Calculator'!G23="EVEN",'Single Run Calculator'!C23/2,IF('Single Run Calculator'!F23="White",('Single Run Calculator'!C23-1)/2+1,('Single Run Calculator'!C23-1)/2))</f>
        <v>1</v>
      </c>
      <c r="L23" s="24">
        <f>((VLOOKUP(A23,'RT Calculator'!A3:D17,4,FALSE)*(D23*3.28084)*J23)+H23)</f>
        <v>2746.3583556000003</v>
      </c>
      <c r="M23" s="24">
        <f>((VLOOKUP(A23,'RT Calculator'!A3:D17,4,FALSE)*(D23*3.28084)*K23)+I23)</f>
        <v>2746.3583556000003</v>
      </c>
      <c r="N23" s="15">
        <f t="shared" ref="N23:N31" si="32">ROUNDUP(L23/900,0)</f>
        <v>4</v>
      </c>
      <c r="O23" s="15">
        <f t="shared" ref="O23:O31" si="33">ROUNDUP(M23/900,0)</f>
        <v>4</v>
      </c>
      <c r="P23" s="16">
        <f t="shared" ref="P23:P31" si="34">ROUNDUP(N23/3,0)</f>
        <v>2</v>
      </c>
      <c r="Q23" s="16">
        <f t="shared" ref="Q23:Q31" si="35">ROUNDUP(O23/3,0)</f>
        <v>2</v>
      </c>
      <c r="R23" s="16">
        <f t="shared" ref="R23:R31" si="36">IF(P23&gt;Q23,P23,Q23)</f>
        <v>2</v>
      </c>
      <c r="S23" s="71" t="str">
        <f t="shared" ref="S23:S31" si="37">A23</f>
        <v>38 mm</v>
      </c>
    </row>
    <row r="24" spans="1:54" ht="25.15" hidden="1" customHeight="1" x14ac:dyDescent="0.4">
      <c r="A24" s="61" t="s">
        <v>38</v>
      </c>
      <c r="B24" s="4">
        <f>VLOOKUP(A24,'RT Calculator'!$H$2:$I$13,2,0)</f>
        <v>2</v>
      </c>
      <c r="C24" s="72">
        <v>2</v>
      </c>
      <c r="D24" s="73">
        <v>15</v>
      </c>
      <c r="E24" s="73">
        <v>15</v>
      </c>
      <c r="F24" s="74" t="s">
        <v>23</v>
      </c>
      <c r="G24" s="61" t="str">
        <f t="shared" si="29"/>
        <v>Even</v>
      </c>
      <c r="H24" s="7">
        <f t="shared" si="30"/>
        <v>1230.3150000000001</v>
      </c>
      <c r="I24" s="7">
        <f t="shared" si="31"/>
        <v>1230.3150000000001</v>
      </c>
      <c r="J24" s="7">
        <f>IF('Single Run Calculator'!G24="EVEN",'Single Run Calculator'!C24/2,IF('Single Run Calculator'!F24="Grey",('Single Run Calculator'!C24-1)/2+1,('Single Run Calculator'!C24-1)/2))</f>
        <v>1</v>
      </c>
      <c r="K24" s="7">
        <f>IF('Single Run Calculator'!G24="EVEN",'Single Run Calculator'!C24/2,IF('Single Run Calculator'!F24="White",('Single Run Calculator'!C24-1)/2+1,('Single Run Calculator'!C24-1)/2))</f>
        <v>1</v>
      </c>
      <c r="L24" s="7">
        <f>((VLOOKUP(A24,'RT Calculator'!A4:D18,4,FALSE)*(D24*3.28084)*J24)+H24)</f>
        <v>3173.8682118000002</v>
      </c>
      <c r="M24" s="7">
        <f>((VLOOKUP(A24,'RT Calculator'!A4:D18,4,FALSE)*(D24*3.28084)*K24)+I24)</f>
        <v>3173.8682118000002</v>
      </c>
      <c r="N24" s="5">
        <f t="shared" si="32"/>
        <v>4</v>
      </c>
      <c r="O24" s="5">
        <f t="shared" si="33"/>
        <v>4</v>
      </c>
      <c r="P24" s="6">
        <f t="shared" si="34"/>
        <v>2</v>
      </c>
      <c r="Q24" s="6">
        <f t="shared" si="35"/>
        <v>2</v>
      </c>
      <c r="R24" s="6">
        <f t="shared" si="36"/>
        <v>2</v>
      </c>
      <c r="S24" s="71" t="str">
        <f t="shared" si="37"/>
        <v>50 mm</v>
      </c>
    </row>
    <row r="25" spans="1:54" ht="25.15" hidden="1" customHeight="1" x14ac:dyDescent="0.4">
      <c r="A25" s="61" t="s">
        <v>39</v>
      </c>
      <c r="B25" s="4">
        <f>VLOOKUP(A25,'RT Calculator'!$H$2:$I$13,2,0)</f>
        <v>2</v>
      </c>
      <c r="C25" s="72">
        <v>2</v>
      </c>
      <c r="D25" s="73">
        <v>15</v>
      </c>
      <c r="E25" s="73">
        <v>15</v>
      </c>
      <c r="F25" s="74" t="s">
        <v>23</v>
      </c>
      <c r="G25" s="61" t="str">
        <f t="shared" si="29"/>
        <v>Even</v>
      </c>
      <c r="H25" s="7">
        <f t="shared" si="30"/>
        <v>1230.3150000000001</v>
      </c>
      <c r="I25" s="7">
        <f t="shared" si="31"/>
        <v>1230.3150000000001</v>
      </c>
      <c r="J25" s="7">
        <f>IF('Single Run Calculator'!G25="EVEN",'Single Run Calculator'!C25/2,IF('Single Run Calculator'!F25="Grey",('Single Run Calculator'!C25-1)/2+1,('Single Run Calculator'!C25-1)/2))</f>
        <v>1</v>
      </c>
      <c r="K25" s="7">
        <f>IF('Single Run Calculator'!G25="EVEN",'Single Run Calculator'!C25/2,IF('Single Run Calculator'!F25="White",('Single Run Calculator'!C25-1)/2+1,('Single Run Calculator'!C25-1)/2))</f>
        <v>1</v>
      </c>
      <c r="L25" s="7">
        <f>((VLOOKUP(A25,'RT Calculator'!A5:D19,4,FALSE)*(D25*3.28084)*J25)+H25)</f>
        <v>3554.6753106000001</v>
      </c>
      <c r="M25" s="7">
        <f>((VLOOKUP(A25,'RT Calculator'!A5:D19,4,FALSE)*(D25*3.28084)*K25)+I25)</f>
        <v>3554.6753106000001</v>
      </c>
      <c r="N25" s="5">
        <f t="shared" si="32"/>
        <v>4</v>
      </c>
      <c r="O25" s="5">
        <f t="shared" si="33"/>
        <v>4</v>
      </c>
      <c r="P25" s="6">
        <f t="shared" si="34"/>
        <v>2</v>
      </c>
      <c r="Q25" s="6">
        <f t="shared" si="35"/>
        <v>2</v>
      </c>
      <c r="R25" s="6">
        <f t="shared" si="36"/>
        <v>2</v>
      </c>
      <c r="S25" s="71" t="str">
        <f t="shared" si="37"/>
        <v>63 mm</v>
      </c>
    </row>
    <row r="26" spans="1:54" ht="25.15" hidden="1" customHeight="1" x14ac:dyDescent="0.4">
      <c r="A26" s="61" t="s">
        <v>40</v>
      </c>
      <c r="B26" s="4" t="str">
        <f>VLOOKUP(A26,'RT Calculator'!$H$2:$I$13,2,0)</f>
        <v>3 to 4</v>
      </c>
      <c r="C26" s="72">
        <v>3</v>
      </c>
      <c r="D26" s="73">
        <v>15</v>
      </c>
      <c r="E26" s="73">
        <v>15</v>
      </c>
      <c r="F26" s="74" t="s">
        <v>23</v>
      </c>
      <c r="G26" s="61" t="str">
        <f t="shared" si="29"/>
        <v>odd</v>
      </c>
      <c r="H26" s="7">
        <f t="shared" si="30"/>
        <v>1230.3150000000001</v>
      </c>
      <c r="I26" s="7">
        <f t="shared" si="31"/>
        <v>2460.63</v>
      </c>
      <c r="J26" s="7">
        <f>IF('Single Run Calculator'!G26="EVEN",'Single Run Calculator'!C26/2,IF('Single Run Calculator'!F26="Grey",('Single Run Calculator'!C26-1)/2+1,('Single Run Calculator'!C26-1)/2))</f>
        <v>1</v>
      </c>
      <c r="K26" s="7">
        <f>IF('Single Run Calculator'!G26="EVEN",'Single Run Calculator'!C26/2,IF('Single Run Calculator'!F26="White",('Single Run Calculator'!C26-1)/2+1,('Single Run Calculator'!C26-1)/2))</f>
        <v>2</v>
      </c>
      <c r="L26" s="7">
        <f>((VLOOKUP(A26,'RT Calculator'!A6:D20,4,FALSE)*(D26*3.28084)*J26)+H26)</f>
        <v>4118.7009192000005</v>
      </c>
      <c r="M26" s="7">
        <f>((VLOOKUP(A26,'RT Calculator'!A6:D20,4,FALSE)*(D26*3.28084)*K26)+I26)</f>
        <v>8237.401838400001</v>
      </c>
      <c r="N26" s="5">
        <f t="shared" si="32"/>
        <v>5</v>
      </c>
      <c r="O26" s="5">
        <f t="shared" si="33"/>
        <v>10</v>
      </c>
      <c r="P26" s="6">
        <f t="shared" si="34"/>
        <v>2</v>
      </c>
      <c r="Q26" s="6">
        <f t="shared" si="35"/>
        <v>4</v>
      </c>
      <c r="R26" s="6">
        <f t="shared" si="36"/>
        <v>4</v>
      </c>
      <c r="S26" s="71" t="str">
        <f t="shared" si="37"/>
        <v>75 mm</v>
      </c>
    </row>
    <row r="27" spans="1:54" ht="25.15" hidden="1" customHeight="1" x14ac:dyDescent="0.4">
      <c r="A27" s="61" t="s">
        <v>41</v>
      </c>
      <c r="B27" s="4" t="str">
        <f>VLOOKUP(A27,'RT Calculator'!$H$2:$I$13,2,0)</f>
        <v>3 to 4</v>
      </c>
      <c r="C27" s="72">
        <v>3</v>
      </c>
      <c r="D27" s="73">
        <v>15</v>
      </c>
      <c r="E27" s="73">
        <v>15</v>
      </c>
      <c r="F27" s="74" t="s">
        <v>23</v>
      </c>
      <c r="G27" s="61" t="str">
        <f t="shared" si="29"/>
        <v>odd</v>
      </c>
      <c r="H27" s="7">
        <f t="shared" si="30"/>
        <v>1230.3150000000001</v>
      </c>
      <c r="I27" s="7">
        <f t="shared" si="31"/>
        <v>2460.63</v>
      </c>
      <c r="J27" s="7">
        <f>IF('Single Run Calculator'!G27="EVEN",'Single Run Calculator'!C27/2,IF('Single Run Calculator'!F27="Grey",('Single Run Calculator'!C27-1)/2+1,('Single Run Calculator'!C27-1)/2))</f>
        <v>1</v>
      </c>
      <c r="K27" s="7">
        <f>IF('Single Run Calculator'!G27="EVEN",'Single Run Calculator'!C27/2,IF('Single Run Calculator'!F27="White",('Single Run Calculator'!C27-1)/2+1,('Single Run Calculator'!C27-1)/2))</f>
        <v>2</v>
      </c>
      <c r="L27" s="7">
        <f>((VLOOKUP(A27,'RT Calculator'!A7:D21,4,FALSE)*(D27*3.28084)*J27)+H27)</f>
        <v>5013.2383494000005</v>
      </c>
      <c r="M27" s="7">
        <f>((VLOOKUP(A27,'RT Calculator'!A7:D21,4,FALSE)*(D27*3.28084)*K27)+I27)</f>
        <v>10026.476698800001</v>
      </c>
      <c r="N27" s="5">
        <f t="shared" si="32"/>
        <v>6</v>
      </c>
      <c r="O27" s="5">
        <f t="shared" si="33"/>
        <v>12</v>
      </c>
      <c r="P27" s="6">
        <f t="shared" si="34"/>
        <v>2</v>
      </c>
      <c r="Q27" s="6">
        <f t="shared" si="35"/>
        <v>4</v>
      </c>
      <c r="R27" s="6">
        <f t="shared" si="36"/>
        <v>4</v>
      </c>
      <c r="S27" s="71" t="str">
        <f t="shared" si="37"/>
        <v>100 mm</v>
      </c>
    </row>
    <row r="28" spans="1:54" ht="25.15" hidden="1" customHeight="1" x14ac:dyDescent="0.4">
      <c r="A28" s="61" t="s">
        <v>42</v>
      </c>
      <c r="B28" s="4" t="str">
        <f>VLOOKUP(A28,'RT Calculator'!$H$2:$I$13,2,0)</f>
        <v>3 to 4</v>
      </c>
      <c r="C28" s="72">
        <v>3</v>
      </c>
      <c r="D28" s="73">
        <v>15</v>
      </c>
      <c r="E28" s="73">
        <v>15</v>
      </c>
      <c r="F28" s="74" t="s">
        <v>23</v>
      </c>
      <c r="G28" s="61" t="str">
        <f t="shared" ref="G28" si="38">IF(MOD(C28,2)=0,"Even","odd")</f>
        <v>odd</v>
      </c>
      <c r="H28" s="7">
        <f t="shared" ref="H28" si="39">(E28*3.28084)*J28*25</f>
        <v>1230.3150000000001</v>
      </c>
      <c r="I28" s="7">
        <f t="shared" ref="I28" si="40">(E28*3.28084)*K28*25</f>
        <v>2460.63</v>
      </c>
      <c r="J28" s="7">
        <f>IF('Single Run Calculator'!G28="EVEN",'Single Run Calculator'!C28/2,IF('Single Run Calculator'!F28="Grey",('Single Run Calculator'!C28-1)/2+1,('Single Run Calculator'!C28-1)/2))</f>
        <v>1</v>
      </c>
      <c r="K28" s="7">
        <f>IF('Single Run Calculator'!G28="EVEN",'Single Run Calculator'!C28/2,IF('Single Run Calculator'!F28="White",('Single Run Calculator'!C28-1)/2+1,('Single Run Calculator'!C28-1)/2))</f>
        <v>2</v>
      </c>
      <c r="L28" s="7">
        <f>((VLOOKUP(A28,'RT Calculator'!A8:D22,4,FALSE)*(D28*3.28084)*J28)+H28)</f>
        <v>5972.4411359999995</v>
      </c>
      <c r="M28" s="7">
        <f>((VLOOKUP(A28,'RT Calculator'!A8:D22,4,FALSE)*(D28*3.28084)*K28)+I28)</f>
        <v>11944.882271999999</v>
      </c>
      <c r="N28" s="5">
        <f t="shared" ref="N28" si="41">ROUNDUP(L28/900,0)</f>
        <v>7</v>
      </c>
      <c r="O28" s="5">
        <f t="shared" ref="O28" si="42">ROUNDUP(M28/900,0)</f>
        <v>14</v>
      </c>
      <c r="P28" s="6">
        <f t="shared" ref="P28" si="43">ROUNDUP(N28/3,0)</f>
        <v>3</v>
      </c>
      <c r="Q28" s="6">
        <f t="shared" ref="Q28" si="44">ROUNDUP(O28/3,0)</f>
        <v>5</v>
      </c>
      <c r="R28" s="6">
        <f t="shared" ref="R28" si="45">IF(P28&gt;Q28,P28,Q28)</f>
        <v>5</v>
      </c>
      <c r="S28" s="71" t="str">
        <f t="shared" si="37"/>
        <v>125 mm</v>
      </c>
    </row>
    <row r="29" spans="1:54" ht="25.15" hidden="1" customHeight="1" x14ac:dyDescent="0.4">
      <c r="A29" s="61" t="s">
        <v>43</v>
      </c>
      <c r="B29" s="4" t="str">
        <f>VLOOKUP(A29,'RT Calculator'!$H$2:$I$13,2,0)</f>
        <v>4 to 5</v>
      </c>
      <c r="C29" s="72">
        <v>4</v>
      </c>
      <c r="D29" s="73">
        <v>15</v>
      </c>
      <c r="E29" s="73">
        <v>15</v>
      </c>
      <c r="F29" s="74" t="s">
        <v>23</v>
      </c>
      <c r="G29" s="61" t="str">
        <f t="shared" ref="G29:G31" si="46">IF(MOD(C29,2)=0,"Even","odd")</f>
        <v>Even</v>
      </c>
      <c r="H29" s="7">
        <f t="shared" ref="H29:H31" si="47">(E29*3.28084)*J29*25</f>
        <v>2460.63</v>
      </c>
      <c r="I29" s="7">
        <f t="shared" si="31"/>
        <v>2460.63</v>
      </c>
      <c r="J29" s="7">
        <f>IF('Single Run Calculator'!G29="EVEN",'Single Run Calculator'!C29/2,IF('Single Run Calculator'!F29="Grey",('Single Run Calculator'!C29-1)/2+1,('Single Run Calculator'!C29-1)/2))</f>
        <v>2</v>
      </c>
      <c r="K29" s="7">
        <f>IF('Single Run Calculator'!G29="EVEN",'Single Run Calculator'!C29/2,IF('Single Run Calculator'!F29="White",('Single Run Calculator'!C29-1)/2+1,('Single Run Calculator'!C29-1)/2))</f>
        <v>2</v>
      </c>
      <c r="L29" s="7">
        <f>((VLOOKUP(A29,'RT Calculator'!A8:D22,4,FALSE)*(D29*3.28084)*J29)+H29)</f>
        <v>13884.842963999999</v>
      </c>
      <c r="M29" s="7">
        <f>((VLOOKUP(A29,'RT Calculator'!A8:D22,4,FALSE)*(D29*3.28084)*K29)+I29)</f>
        <v>13884.842963999999</v>
      </c>
      <c r="N29" s="5">
        <f t="shared" si="32"/>
        <v>16</v>
      </c>
      <c r="O29" s="5">
        <f t="shared" si="33"/>
        <v>16</v>
      </c>
      <c r="P29" s="6">
        <f t="shared" si="34"/>
        <v>6</v>
      </c>
      <c r="Q29" s="6">
        <f t="shared" si="35"/>
        <v>6</v>
      </c>
      <c r="R29" s="6">
        <f t="shared" si="36"/>
        <v>6</v>
      </c>
      <c r="S29" s="71" t="str">
        <f t="shared" si="37"/>
        <v>150 mm</v>
      </c>
    </row>
    <row r="30" spans="1:54" ht="25.15" hidden="1" customHeight="1" x14ac:dyDescent="0.4">
      <c r="A30" s="33" t="s">
        <v>44</v>
      </c>
      <c r="B30" s="4" t="str">
        <f>VLOOKUP(A30,'RT Calculator'!$H$2:$I$13,2,0)</f>
        <v>5 to 6</v>
      </c>
      <c r="C30" s="72">
        <v>5</v>
      </c>
      <c r="D30" s="73">
        <v>15</v>
      </c>
      <c r="E30" s="73">
        <v>15</v>
      </c>
      <c r="F30" s="74" t="s">
        <v>23</v>
      </c>
      <c r="G30" s="61" t="str">
        <f t="shared" si="46"/>
        <v>odd</v>
      </c>
      <c r="H30" s="7">
        <f t="shared" si="47"/>
        <v>2460.63</v>
      </c>
      <c r="I30" s="7">
        <f t="shared" si="31"/>
        <v>3690.9450000000002</v>
      </c>
      <c r="J30" s="7">
        <f>IF('Single Run Calculator'!G30="EVEN",'Single Run Calculator'!C30/2,IF('Single Run Calculator'!F30="Grey",('Single Run Calculator'!C30-1)/2+1,('Single Run Calculator'!C30-1)/2))</f>
        <v>2</v>
      </c>
      <c r="K30" s="7">
        <f>IF('Single Run Calculator'!G30="EVEN",'Single Run Calculator'!C30/2,IF('Single Run Calculator'!F30="White",('Single Run Calculator'!C30-1)/2+1,('Single Run Calculator'!C30-1)/2))</f>
        <v>3</v>
      </c>
      <c r="L30" s="7">
        <f>((VLOOKUP(A30,'RT Calculator'!A9:D23,4,FALSE)*(D30*3.28084)*J30)+H30)</f>
        <v>17333.661971999998</v>
      </c>
      <c r="M30" s="7">
        <f>((VLOOKUP(A30,'RT Calculator'!A9:D23,4,FALSE)*(D30*3.28084)*K30)+I30)</f>
        <v>26000.492957999999</v>
      </c>
      <c r="N30" s="5">
        <f t="shared" si="32"/>
        <v>20</v>
      </c>
      <c r="O30" s="5">
        <f t="shared" si="33"/>
        <v>29</v>
      </c>
      <c r="P30" s="6">
        <f t="shared" si="34"/>
        <v>7</v>
      </c>
      <c r="Q30" s="6">
        <f t="shared" si="35"/>
        <v>10</v>
      </c>
      <c r="R30" s="6">
        <f t="shared" si="36"/>
        <v>10</v>
      </c>
      <c r="S30" s="71" t="str">
        <f t="shared" si="37"/>
        <v>200 mm</v>
      </c>
    </row>
    <row r="31" spans="1:54" ht="25.15" hidden="1" customHeight="1" x14ac:dyDescent="0.4">
      <c r="A31" s="61" t="s">
        <v>45</v>
      </c>
      <c r="B31" s="4" t="str">
        <f>VLOOKUP(A31,'RT Calculator'!$H$2:$I$13,2,0)</f>
        <v>8 to 9</v>
      </c>
      <c r="C31" s="72">
        <v>8</v>
      </c>
      <c r="D31" s="73">
        <v>15</v>
      </c>
      <c r="E31" s="73">
        <v>15</v>
      </c>
      <c r="F31" s="74" t="s">
        <v>23</v>
      </c>
      <c r="G31" s="61" t="str">
        <f t="shared" si="46"/>
        <v>Even</v>
      </c>
      <c r="H31" s="7">
        <f t="shared" si="47"/>
        <v>4921.26</v>
      </c>
      <c r="I31" s="7">
        <f t="shared" si="31"/>
        <v>4921.26</v>
      </c>
      <c r="J31" s="7">
        <f>IF('Single Run Calculator'!G31="EVEN",'Single Run Calculator'!C31/2,IF('Single Run Calculator'!F31="Grey",('Single Run Calculator'!C31-1)/2+1,('Single Run Calculator'!C31-1)/2))</f>
        <v>4</v>
      </c>
      <c r="K31" s="7">
        <f>IF('Single Run Calculator'!G31="EVEN",'Single Run Calculator'!C31/2,IF('Single Run Calculator'!F31="White",('Single Run Calculator'!C31-1)/2+1,('Single Run Calculator'!C31-1)/2))</f>
        <v>4</v>
      </c>
      <c r="L31" s="7">
        <f>((VLOOKUP(A31,'RT Calculator'!A10:D24,4,FALSE)*(D31*3.28084)*J31)+H31)</f>
        <v>50043.308688000005</v>
      </c>
      <c r="M31" s="7">
        <f>((VLOOKUP(A31,'RT Calculator'!A10:D24,4,FALSE)*(D31*3.28084)*K31)+I31)</f>
        <v>50043.308688000005</v>
      </c>
      <c r="N31" s="5">
        <f t="shared" si="32"/>
        <v>56</v>
      </c>
      <c r="O31" s="5">
        <f t="shared" si="33"/>
        <v>56</v>
      </c>
      <c r="P31" s="6">
        <f t="shared" si="34"/>
        <v>19</v>
      </c>
      <c r="Q31" s="6">
        <f t="shared" si="35"/>
        <v>19</v>
      </c>
      <c r="R31" s="6">
        <f t="shared" si="36"/>
        <v>19</v>
      </c>
      <c r="S31" s="71" t="str">
        <f t="shared" si="37"/>
        <v>300 mm</v>
      </c>
    </row>
    <row r="32" spans="1:54" s="26" customFormat="1" ht="16.5" thickBot="1" x14ac:dyDescent="0.3">
      <c r="A32" s="183" t="s">
        <v>32</v>
      </c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5"/>
      <c r="S32" s="48"/>
    </row>
    <row r="33" spans="19:19" s="26" customFormat="1" x14ac:dyDescent="0.25">
      <c r="S33" s="48"/>
    </row>
    <row r="34" spans="19:19" s="26" customFormat="1" x14ac:dyDescent="0.25">
      <c r="S34" s="48"/>
    </row>
    <row r="35" spans="19:19" s="26" customFormat="1" x14ac:dyDescent="0.25">
      <c r="S35" s="48"/>
    </row>
    <row r="36" spans="19:19" s="26" customFormat="1" x14ac:dyDescent="0.25">
      <c r="S36" s="48"/>
    </row>
    <row r="37" spans="19:19" s="26" customFormat="1" x14ac:dyDescent="0.25">
      <c r="S37" s="48"/>
    </row>
    <row r="38" spans="19:19" s="26" customFormat="1" x14ac:dyDescent="0.25">
      <c r="S38" s="48"/>
    </row>
    <row r="39" spans="19:19" s="26" customFormat="1" x14ac:dyDescent="0.25">
      <c r="S39" s="48"/>
    </row>
    <row r="40" spans="19:19" s="26" customFormat="1" x14ac:dyDescent="0.25">
      <c r="S40" s="48"/>
    </row>
    <row r="41" spans="19:19" s="26" customFormat="1" x14ac:dyDescent="0.25">
      <c r="S41" s="48"/>
    </row>
    <row r="42" spans="19:19" s="26" customFormat="1" x14ac:dyDescent="0.25">
      <c r="S42" s="48"/>
    </row>
    <row r="43" spans="19:19" s="26" customFormat="1" x14ac:dyDescent="0.25">
      <c r="S43" s="48"/>
    </row>
    <row r="44" spans="19:19" s="26" customFormat="1" x14ac:dyDescent="0.25">
      <c r="S44" s="48"/>
    </row>
    <row r="45" spans="19:19" s="26" customFormat="1" x14ac:dyDescent="0.25">
      <c r="S45" s="48"/>
    </row>
    <row r="46" spans="19:19" s="26" customFormat="1" x14ac:dyDescent="0.25">
      <c r="S46" s="48"/>
    </row>
    <row r="47" spans="19:19" s="26" customFormat="1" x14ac:dyDescent="0.25">
      <c r="S47" s="48"/>
    </row>
    <row r="48" spans="19:19" s="26" customFormat="1" x14ac:dyDescent="0.25">
      <c r="S48" s="48"/>
    </row>
    <row r="49" spans="19:19" s="26" customFormat="1" x14ac:dyDescent="0.25">
      <c r="S49" s="48"/>
    </row>
    <row r="50" spans="19:19" s="26" customFormat="1" x14ac:dyDescent="0.25">
      <c r="S50" s="48"/>
    </row>
    <row r="51" spans="19:19" s="26" customFormat="1" x14ac:dyDescent="0.25">
      <c r="S51" s="48"/>
    </row>
    <row r="52" spans="19:19" s="26" customFormat="1" x14ac:dyDescent="0.25">
      <c r="S52" s="48"/>
    </row>
    <row r="53" spans="19:19" s="26" customFormat="1" x14ac:dyDescent="0.25">
      <c r="S53" s="48"/>
    </row>
    <row r="54" spans="19:19" s="26" customFormat="1" x14ac:dyDescent="0.25">
      <c r="S54" s="48"/>
    </row>
    <row r="55" spans="19:19" s="26" customFormat="1" x14ac:dyDescent="0.25">
      <c r="S55" s="48"/>
    </row>
    <row r="56" spans="19:19" s="26" customFormat="1" x14ac:dyDescent="0.25">
      <c r="S56" s="48"/>
    </row>
    <row r="57" spans="19:19" s="26" customFormat="1" x14ac:dyDescent="0.25">
      <c r="S57" s="48"/>
    </row>
    <row r="58" spans="19:19" s="26" customFormat="1" x14ac:dyDescent="0.25">
      <c r="S58" s="48"/>
    </row>
    <row r="59" spans="19:19" s="26" customFormat="1" x14ac:dyDescent="0.25">
      <c r="S59" s="48"/>
    </row>
    <row r="60" spans="19:19" s="26" customFormat="1" x14ac:dyDescent="0.25">
      <c r="S60" s="48"/>
    </row>
    <row r="61" spans="19:19" s="26" customFormat="1" x14ac:dyDescent="0.25">
      <c r="S61" s="48"/>
    </row>
    <row r="62" spans="19:19" s="26" customFormat="1" x14ac:dyDescent="0.25">
      <c r="S62" s="48"/>
    </row>
    <row r="63" spans="19:19" s="26" customFormat="1" x14ac:dyDescent="0.25">
      <c r="S63" s="48"/>
    </row>
    <row r="64" spans="19:19" s="26" customFormat="1" x14ac:dyDescent="0.25">
      <c r="S64" s="48"/>
    </row>
    <row r="65" spans="19:19" s="26" customFormat="1" x14ac:dyDescent="0.25">
      <c r="S65" s="48"/>
    </row>
    <row r="66" spans="19:19" s="26" customFormat="1" x14ac:dyDescent="0.25">
      <c r="S66" s="48"/>
    </row>
    <row r="67" spans="19:19" s="26" customFormat="1" x14ac:dyDescent="0.25">
      <c r="S67" s="48"/>
    </row>
    <row r="68" spans="19:19" s="26" customFormat="1" x14ac:dyDescent="0.25">
      <c r="S68" s="48"/>
    </row>
    <row r="69" spans="19:19" s="26" customFormat="1" x14ac:dyDescent="0.25">
      <c r="S69" s="48"/>
    </row>
    <row r="70" spans="19:19" s="26" customFormat="1" x14ac:dyDescent="0.25">
      <c r="S70" s="48"/>
    </row>
    <row r="71" spans="19:19" s="26" customFormat="1" x14ac:dyDescent="0.25">
      <c r="S71" s="48"/>
    </row>
    <row r="72" spans="19:19" s="26" customFormat="1" x14ac:dyDescent="0.25">
      <c r="S72" s="48"/>
    </row>
    <row r="73" spans="19:19" s="26" customFormat="1" x14ac:dyDescent="0.25">
      <c r="S73" s="48"/>
    </row>
    <row r="74" spans="19:19" s="26" customFormat="1" x14ac:dyDescent="0.25">
      <c r="S74" s="48"/>
    </row>
    <row r="75" spans="19:19" s="26" customFormat="1" x14ac:dyDescent="0.25">
      <c r="S75" s="48"/>
    </row>
    <row r="76" spans="19:19" s="26" customFormat="1" x14ac:dyDescent="0.25">
      <c r="S76" s="48"/>
    </row>
    <row r="77" spans="19:19" s="26" customFormat="1" x14ac:dyDescent="0.25">
      <c r="S77" s="48"/>
    </row>
    <row r="78" spans="19:19" s="26" customFormat="1" x14ac:dyDescent="0.25">
      <c r="S78" s="48"/>
    </row>
    <row r="79" spans="19:19" s="26" customFormat="1" x14ac:dyDescent="0.25">
      <c r="S79" s="48"/>
    </row>
    <row r="80" spans="19:19" s="26" customFormat="1" x14ac:dyDescent="0.25">
      <c r="S80" s="48"/>
    </row>
    <row r="81" spans="19:19" s="26" customFormat="1" x14ac:dyDescent="0.25">
      <c r="S81" s="48"/>
    </row>
    <row r="82" spans="19:19" s="26" customFormat="1" x14ac:dyDescent="0.25">
      <c r="S82" s="48"/>
    </row>
    <row r="83" spans="19:19" s="26" customFormat="1" x14ac:dyDescent="0.25">
      <c r="S83" s="48"/>
    </row>
    <row r="84" spans="19:19" s="26" customFormat="1" x14ac:dyDescent="0.25">
      <c r="S84" s="48"/>
    </row>
    <row r="85" spans="19:19" s="26" customFormat="1" x14ac:dyDescent="0.25">
      <c r="S85" s="48"/>
    </row>
    <row r="86" spans="19:19" s="26" customFormat="1" x14ac:dyDescent="0.25">
      <c r="S86" s="48"/>
    </row>
    <row r="87" spans="19:19" s="26" customFormat="1" x14ac:dyDescent="0.25">
      <c r="S87" s="48"/>
    </row>
    <row r="88" spans="19:19" s="26" customFormat="1" x14ac:dyDescent="0.25">
      <c r="S88" s="48"/>
    </row>
    <row r="89" spans="19:19" s="26" customFormat="1" x14ac:dyDescent="0.25">
      <c r="S89" s="48"/>
    </row>
    <row r="90" spans="19:19" s="26" customFormat="1" x14ac:dyDescent="0.25">
      <c r="S90" s="48"/>
    </row>
    <row r="91" spans="19:19" s="26" customFormat="1" x14ac:dyDescent="0.25">
      <c r="S91" s="48"/>
    </row>
    <row r="92" spans="19:19" s="26" customFormat="1" x14ac:dyDescent="0.25">
      <c r="S92" s="48"/>
    </row>
    <row r="93" spans="19:19" s="26" customFormat="1" x14ac:dyDescent="0.25">
      <c r="S93" s="48"/>
    </row>
    <row r="94" spans="19:19" s="26" customFormat="1" x14ac:dyDescent="0.25">
      <c r="S94" s="48"/>
    </row>
    <row r="95" spans="19:19" s="26" customFormat="1" x14ac:dyDescent="0.25">
      <c r="S95" s="48"/>
    </row>
    <row r="96" spans="19:19" s="26" customFormat="1" x14ac:dyDescent="0.25">
      <c r="S96" s="48"/>
    </row>
    <row r="97" spans="19:19" s="26" customFormat="1" x14ac:dyDescent="0.25">
      <c r="S97" s="48"/>
    </row>
    <row r="98" spans="19:19" s="26" customFormat="1" x14ac:dyDescent="0.25">
      <c r="S98" s="48"/>
    </row>
    <row r="99" spans="19:19" s="26" customFormat="1" x14ac:dyDescent="0.25">
      <c r="S99" s="48"/>
    </row>
    <row r="100" spans="19:19" s="26" customFormat="1" x14ac:dyDescent="0.25">
      <c r="S100" s="48"/>
    </row>
    <row r="101" spans="19:19" s="26" customFormat="1" x14ac:dyDescent="0.25">
      <c r="S101" s="48"/>
    </row>
    <row r="102" spans="19:19" s="26" customFormat="1" x14ac:dyDescent="0.25">
      <c r="S102" s="48"/>
    </row>
    <row r="103" spans="19:19" s="26" customFormat="1" x14ac:dyDescent="0.25">
      <c r="S103" s="48"/>
    </row>
    <row r="104" spans="19:19" s="26" customFormat="1" x14ac:dyDescent="0.25">
      <c r="S104" s="48"/>
    </row>
    <row r="105" spans="19:19" s="26" customFormat="1" x14ac:dyDescent="0.25">
      <c r="S105" s="48"/>
    </row>
    <row r="106" spans="19:19" s="26" customFormat="1" x14ac:dyDescent="0.25">
      <c r="S106" s="48"/>
    </row>
    <row r="107" spans="19:19" s="26" customFormat="1" x14ac:dyDescent="0.25">
      <c r="S107" s="48"/>
    </row>
    <row r="108" spans="19:19" s="26" customFormat="1" x14ac:dyDescent="0.25">
      <c r="S108" s="48"/>
    </row>
    <row r="109" spans="19:19" s="26" customFormat="1" x14ac:dyDescent="0.25">
      <c r="S109" s="48"/>
    </row>
    <row r="110" spans="19:19" s="26" customFormat="1" x14ac:dyDescent="0.25">
      <c r="S110" s="48"/>
    </row>
    <row r="111" spans="19:19" s="26" customFormat="1" x14ac:dyDescent="0.25">
      <c r="S111" s="48"/>
    </row>
    <row r="112" spans="19:19" s="26" customFormat="1" x14ac:dyDescent="0.25">
      <c r="S112" s="48"/>
    </row>
    <row r="113" spans="19:19" s="26" customFormat="1" x14ac:dyDescent="0.25">
      <c r="S113" s="48"/>
    </row>
    <row r="114" spans="19:19" s="26" customFormat="1" x14ac:dyDescent="0.25">
      <c r="S114" s="48"/>
    </row>
    <row r="115" spans="19:19" s="26" customFormat="1" x14ac:dyDescent="0.25">
      <c r="S115" s="48"/>
    </row>
    <row r="116" spans="19:19" s="26" customFormat="1" x14ac:dyDescent="0.25">
      <c r="S116" s="48"/>
    </row>
    <row r="117" spans="19:19" s="26" customFormat="1" x14ac:dyDescent="0.25">
      <c r="S117" s="48"/>
    </row>
    <row r="118" spans="19:19" s="26" customFormat="1" x14ac:dyDescent="0.25">
      <c r="S118" s="48"/>
    </row>
    <row r="119" spans="19:19" s="26" customFormat="1" x14ac:dyDescent="0.25">
      <c r="S119" s="48"/>
    </row>
    <row r="120" spans="19:19" s="26" customFormat="1" x14ac:dyDescent="0.25">
      <c r="S120" s="48"/>
    </row>
    <row r="121" spans="19:19" s="26" customFormat="1" x14ac:dyDescent="0.25">
      <c r="S121" s="48"/>
    </row>
    <row r="122" spans="19:19" s="26" customFormat="1" x14ac:dyDescent="0.25">
      <c r="S122" s="48"/>
    </row>
    <row r="123" spans="19:19" s="26" customFormat="1" x14ac:dyDescent="0.25">
      <c r="S123" s="48"/>
    </row>
    <row r="124" spans="19:19" s="26" customFormat="1" x14ac:dyDescent="0.25">
      <c r="S124" s="48"/>
    </row>
    <row r="125" spans="19:19" s="26" customFormat="1" x14ac:dyDescent="0.25">
      <c r="S125" s="48"/>
    </row>
    <row r="126" spans="19:19" s="26" customFormat="1" x14ac:dyDescent="0.25">
      <c r="S126" s="48"/>
    </row>
    <row r="127" spans="19:19" s="26" customFormat="1" x14ac:dyDescent="0.25">
      <c r="S127" s="48"/>
    </row>
    <row r="128" spans="19:19" s="26" customFormat="1" x14ac:dyDescent="0.25">
      <c r="S128" s="48"/>
    </row>
    <row r="129" spans="19:19" s="26" customFormat="1" x14ac:dyDescent="0.25">
      <c r="S129" s="48"/>
    </row>
    <row r="130" spans="19:19" s="26" customFormat="1" x14ac:dyDescent="0.25">
      <c r="S130" s="48"/>
    </row>
    <row r="131" spans="19:19" s="26" customFormat="1" x14ac:dyDescent="0.25">
      <c r="S131" s="48"/>
    </row>
    <row r="132" spans="19:19" s="26" customFormat="1" x14ac:dyDescent="0.25">
      <c r="S132" s="48"/>
    </row>
    <row r="133" spans="19:19" s="26" customFormat="1" x14ac:dyDescent="0.25">
      <c r="S133" s="48"/>
    </row>
    <row r="134" spans="19:19" s="26" customFormat="1" x14ac:dyDescent="0.25">
      <c r="S134" s="48"/>
    </row>
    <row r="135" spans="19:19" s="26" customFormat="1" x14ac:dyDescent="0.25">
      <c r="S135" s="48"/>
    </row>
    <row r="136" spans="19:19" s="26" customFormat="1" x14ac:dyDescent="0.25">
      <c r="S136" s="48"/>
    </row>
    <row r="137" spans="19:19" s="26" customFormat="1" x14ac:dyDescent="0.25">
      <c r="S137" s="48"/>
    </row>
    <row r="138" spans="19:19" s="26" customFormat="1" x14ac:dyDescent="0.25">
      <c r="S138" s="48"/>
    </row>
    <row r="139" spans="19:19" s="26" customFormat="1" x14ac:dyDescent="0.25">
      <c r="S139" s="48"/>
    </row>
    <row r="140" spans="19:19" s="26" customFormat="1" x14ac:dyDescent="0.25">
      <c r="S140" s="48"/>
    </row>
    <row r="141" spans="19:19" s="26" customFormat="1" x14ac:dyDescent="0.25">
      <c r="S141" s="48"/>
    </row>
    <row r="142" spans="19:19" s="26" customFormat="1" x14ac:dyDescent="0.25">
      <c r="S142" s="48"/>
    </row>
    <row r="143" spans="19:19" s="26" customFormat="1" x14ac:dyDescent="0.25">
      <c r="S143" s="48"/>
    </row>
    <row r="144" spans="19:19" s="26" customFormat="1" x14ac:dyDescent="0.25">
      <c r="S144" s="48"/>
    </row>
    <row r="145" spans="19:19" s="26" customFormat="1" x14ac:dyDescent="0.25">
      <c r="S145" s="48"/>
    </row>
    <row r="146" spans="19:19" s="26" customFormat="1" x14ac:dyDescent="0.25">
      <c r="S146" s="48"/>
    </row>
    <row r="147" spans="19:19" s="26" customFormat="1" x14ac:dyDescent="0.25">
      <c r="S147" s="48"/>
    </row>
    <row r="148" spans="19:19" s="26" customFormat="1" x14ac:dyDescent="0.25">
      <c r="S148" s="48"/>
    </row>
    <row r="149" spans="19:19" s="26" customFormat="1" x14ac:dyDescent="0.25">
      <c r="S149" s="48"/>
    </row>
    <row r="150" spans="19:19" s="26" customFormat="1" x14ac:dyDescent="0.25">
      <c r="S150" s="48"/>
    </row>
    <row r="151" spans="19:19" s="26" customFormat="1" x14ac:dyDescent="0.25">
      <c r="S151" s="48"/>
    </row>
    <row r="152" spans="19:19" s="26" customFormat="1" x14ac:dyDescent="0.25">
      <c r="S152" s="48"/>
    </row>
    <row r="153" spans="19:19" s="26" customFormat="1" x14ac:dyDescent="0.25">
      <c r="S153" s="48"/>
    </row>
    <row r="154" spans="19:19" s="26" customFormat="1" x14ac:dyDescent="0.25">
      <c r="S154" s="48"/>
    </row>
    <row r="155" spans="19:19" s="26" customFormat="1" x14ac:dyDescent="0.25">
      <c r="S155" s="48"/>
    </row>
    <row r="156" spans="19:19" s="26" customFormat="1" x14ac:dyDescent="0.25">
      <c r="S156" s="48"/>
    </row>
    <row r="157" spans="19:19" s="26" customFormat="1" x14ac:dyDescent="0.25">
      <c r="S157" s="48"/>
    </row>
    <row r="158" spans="19:19" s="26" customFormat="1" x14ac:dyDescent="0.25">
      <c r="S158" s="48"/>
    </row>
    <row r="159" spans="19:19" s="26" customFormat="1" x14ac:dyDescent="0.25">
      <c r="S159" s="48"/>
    </row>
    <row r="160" spans="19:19" s="26" customFormat="1" x14ac:dyDescent="0.25">
      <c r="S160" s="48"/>
    </row>
    <row r="161" spans="19:19" s="26" customFormat="1" x14ac:dyDescent="0.25">
      <c r="S161" s="48"/>
    </row>
    <row r="162" spans="19:19" s="26" customFormat="1" x14ac:dyDescent="0.25">
      <c r="S162" s="48"/>
    </row>
    <row r="163" spans="19:19" s="26" customFormat="1" x14ac:dyDescent="0.25">
      <c r="S163" s="48"/>
    </row>
    <row r="164" spans="19:19" s="26" customFormat="1" x14ac:dyDescent="0.25">
      <c r="S164" s="48"/>
    </row>
    <row r="165" spans="19:19" s="26" customFormat="1" x14ac:dyDescent="0.25">
      <c r="S165" s="48"/>
    </row>
    <row r="166" spans="19:19" s="26" customFormat="1" x14ac:dyDescent="0.25">
      <c r="S166" s="48"/>
    </row>
    <row r="167" spans="19:19" s="26" customFormat="1" x14ac:dyDescent="0.25">
      <c r="S167" s="48"/>
    </row>
    <row r="168" spans="19:19" s="26" customFormat="1" x14ac:dyDescent="0.25">
      <c r="S168" s="48"/>
    </row>
    <row r="169" spans="19:19" s="26" customFormat="1" x14ac:dyDescent="0.25">
      <c r="S169" s="48"/>
    </row>
    <row r="170" spans="19:19" s="26" customFormat="1" x14ac:dyDescent="0.25">
      <c r="S170" s="48"/>
    </row>
    <row r="171" spans="19:19" s="26" customFormat="1" x14ac:dyDescent="0.25">
      <c r="S171" s="48"/>
    </row>
    <row r="172" spans="19:19" s="26" customFormat="1" x14ac:dyDescent="0.25">
      <c r="S172" s="48"/>
    </row>
    <row r="173" spans="19:19" s="26" customFormat="1" x14ac:dyDescent="0.25">
      <c r="S173" s="48"/>
    </row>
    <row r="174" spans="19:19" s="26" customFormat="1" x14ac:dyDescent="0.25">
      <c r="S174" s="48"/>
    </row>
    <row r="175" spans="19:19" s="26" customFormat="1" x14ac:dyDescent="0.25">
      <c r="S175" s="48"/>
    </row>
    <row r="176" spans="19:19" s="26" customFormat="1" x14ac:dyDescent="0.25">
      <c r="S176" s="48"/>
    </row>
    <row r="177" spans="19:19" s="26" customFormat="1" x14ac:dyDescent="0.25">
      <c r="S177" s="48"/>
    </row>
    <row r="178" spans="19:19" s="26" customFormat="1" x14ac:dyDescent="0.25">
      <c r="S178" s="48"/>
    </row>
    <row r="179" spans="19:19" s="26" customFormat="1" x14ac:dyDescent="0.25">
      <c r="S179" s="48"/>
    </row>
    <row r="180" spans="19:19" s="26" customFormat="1" x14ac:dyDescent="0.25">
      <c r="S180" s="48"/>
    </row>
    <row r="181" spans="19:19" s="26" customFormat="1" x14ac:dyDescent="0.25">
      <c r="S181" s="48"/>
    </row>
    <row r="182" spans="19:19" s="26" customFormat="1" x14ac:dyDescent="0.25">
      <c r="S182" s="48"/>
    </row>
    <row r="183" spans="19:19" s="26" customFormat="1" x14ac:dyDescent="0.25">
      <c r="S183" s="48"/>
    </row>
    <row r="184" spans="19:19" s="26" customFormat="1" x14ac:dyDescent="0.25">
      <c r="S184" s="48"/>
    </row>
    <row r="185" spans="19:19" s="26" customFormat="1" x14ac:dyDescent="0.25">
      <c r="S185" s="48"/>
    </row>
    <row r="186" spans="19:19" s="26" customFormat="1" x14ac:dyDescent="0.25">
      <c r="S186" s="48"/>
    </row>
    <row r="187" spans="19:19" s="26" customFormat="1" x14ac:dyDescent="0.25">
      <c r="S187" s="48"/>
    </row>
    <row r="188" spans="19:19" s="26" customFormat="1" x14ac:dyDescent="0.25">
      <c r="S188" s="48"/>
    </row>
    <row r="189" spans="19:19" s="26" customFormat="1" x14ac:dyDescent="0.25">
      <c r="S189" s="48"/>
    </row>
    <row r="190" spans="19:19" s="26" customFormat="1" x14ac:dyDescent="0.25">
      <c r="S190" s="48"/>
    </row>
    <row r="191" spans="19:19" s="26" customFormat="1" x14ac:dyDescent="0.25">
      <c r="S191" s="48"/>
    </row>
    <row r="192" spans="19:19" s="26" customFormat="1" x14ac:dyDescent="0.25">
      <c r="S192" s="48"/>
    </row>
    <row r="193" spans="19:19" s="26" customFormat="1" x14ac:dyDescent="0.25">
      <c r="S193" s="48"/>
    </row>
    <row r="194" spans="19:19" s="26" customFormat="1" x14ac:dyDescent="0.25">
      <c r="S194" s="48"/>
    </row>
    <row r="195" spans="19:19" s="26" customFormat="1" x14ac:dyDescent="0.25">
      <c r="S195" s="48"/>
    </row>
    <row r="196" spans="19:19" s="26" customFormat="1" x14ac:dyDescent="0.25">
      <c r="S196" s="48"/>
    </row>
    <row r="197" spans="19:19" s="26" customFormat="1" x14ac:dyDescent="0.25">
      <c r="S197" s="48"/>
    </row>
    <row r="198" spans="19:19" s="26" customFormat="1" x14ac:dyDescent="0.25">
      <c r="S198" s="48"/>
    </row>
    <row r="199" spans="19:19" s="26" customFormat="1" x14ac:dyDescent="0.25">
      <c r="S199" s="48"/>
    </row>
    <row r="200" spans="19:19" s="26" customFormat="1" x14ac:dyDescent="0.25">
      <c r="S200" s="48"/>
    </row>
    <row r="201" spans="19:19" s="26" customFormat="1" x14ac:dyDescent="0.25">
      <c r="S201" s="48"/>
    </row>
    <row r="202" spans="19:19" s="26" customFormat="1" x14ac:dyDescent="0.25">
      <c r="S202" s="48"/>
    </row>
    <row r="203" spans="19:19" s="26" customFormat="1" x14ac:dyDescent="0.25">
      <c r="S203" s="48"/>
    </row>
    <row r="204" spans="19:19" s="26" customFormat="1" x14ac:dyDescent="0.25">
      <c r="S204" s="48"/>
    </row>
    <row r="205" spans="19:19" s="26" customFormat="1" x14ac:dyDescent="0.25">
      <c r="S205" s="48"/>
    </row>
    <row r="206" spans="19:19" s="26" customFormat="1" x14ac:dyDescent="0.25">
      <c r="S206" s="48"/>
    </row>
    <row r="207" spans="19:19" s="26" customFormat="1" x14ac:dyDescent="0.25">
      <c r="S207" s="48"/>
    </row>
    <row r="208" spans="19:19" s="26" customFormat="1" x14ac:dyDescent="0.25">
      <c r="S208" s="48"/>
    </row>
    <row r="209" spans="19:19" s="26" customFormat="1" x14ac:dyDescent="0.25">
      <c r="S209" s="48"/>
    </row>
    <row r="210" spans="19:19" s="26" customFormat="1" x14ac:dyDescent="0.25">
      <c r="S210" s="48"/>
    </row>
    <row r="211" spans="19:19" s="26" customFormat="1" x14ac:dyDescent="0.25">
      <c r="S211" s="48"/>
    </row>
    <row r="212" spans="19:19" s="26" customFormat="1" x14ac:dyDescent="0.25">
      <c r="S212" s="48"/>
    </row>
    <row r="213" spans="19:19" s="26" customFormat="1" x14ac:dyDescent="0.25">
      <c r="S213" s="48"/>
    </row>
    <row r="214" spans="19:19" s="26" customFormat="1" x14ac:dyDescent="0.25">
      <c r="S214" s="48"/>
    </row>
    <row r="215" spans="19:19" s="26" customFormat="1" x14ac:dyDescent="0.25">
      <c r="S215" s="48"/>
    </row>
    <row r="216" spans="19:19" s="26" customFormat="1" x14ac:dyDescent="0.25">
      <c r="S216" s="48"/>
    </row>
    <row r="217" spans="19:19" s="26" customFormat="1" x14ac:dyDescent="0.25">
      <c r="S217" s="48"/>
    </row>
    <row r="218" spans="19:19" s="26" customFormat="1" x14ac:dyDescent="0.25">
      <c r="S218" s="48"/>
    </row>
    <row r="219" spans="19:19" s="26" customFormat="1" x14ac:dyDescent="0.25">
      <c r="S219" s="48"/>
    </row>
    <row r="220" spans="19:19" s="26" customFormat="1" x14ac:dyDescent="0.25">
      <c r="S220" s="48"/>
    </row>
    <row r="221" spans="19:19" s="26" customFormat="1" x14ac:dyDescent="0.25">
      <c r="S221" s="48"/>
    </row>
    <row r="222" spans="19:19" s="26" customFormat="1" x14ac:dyDescent="0.25">
      <c r="S222" s="48"/>
    </row>
    <row r="223" spans="19:19" s="26" customFormat="1" x14ac:dyDescent="0.25">
      <c r="S223" s="48"/>
    </row>
    <row r="224" spans="19:19" s="26" customFormat="1" x14ac:dyDescent="0.25">
      <c r="S224" s="48"/>
    </row>
    <row r="225" spans="19:19" s="26" customFormat="1" x14ac:dyDescent="0.25">
      <c r="S225" s="48"/>
    </row>
    <row r="226" spans="19:19" s="26" customFormat="1" x14ac:dyDescent="0.25">
      <c r="S226" s="48"/>
    </row>
    <row r="227" spans="19:19" s="26" customFormat="1" x14ac:dyDescent="0.25">
      <c r="S227" s="48"/>
    </row>
    <row r="228" spans="19:19" s="26" customFormat="1" x14ac:dyDescent="0.25">
      <c r="S228" s="48"/>
    </row>
    <row r="229" spans="19:19" s="26" customFormat="1" x14ac:dyDescent="0.25">
      <c r="S229" s="48"/>
    </row>
    <row r="230" spans="19:19" s="26" customFormat="1" x14ac:dyDescent="0.25">
      <c r="S230" s="48"/>
    </row>
    <row r="231" spans="19:19" s="26" customFormat="1" x14ac:dyDescent="0.25">
      <c r="S231" s="48"/>
    </row>
    <row r="232" spans="19:19" s="26" customFormat="1" x14ac:dyDescent="0.25">
      <c r="S232" s="48"/>
    </row>
    <row r="233" spans="19:19" s="26" customFormat="1" x14ac:dyDescent="0.25">
      <c r="S233" s="48"/>
    </row>
    <row r="234" spans="19:19" s="26" customFormat="1" x14ac:dyDescent="0.25">
      <c r="S234" s="48"/>
    </row>
    <row r="235" spans="19:19" s="26" customFormat="1" x14ac:dyDescent="0.25">
      <c r="S235" s="48"/>
    </row>
    <row r="236" spans="19:19" s="26" customFormat="1" x14ac:dyDescent="0.25">
      <c r="S236" s="48"/>
    </row>
    <row r="237" spans="19:19" s="26" customFormat="1" x14ac:dyDescent="0.25">
      <c r="S237" s="48"/>
    </row>
    <row r="238" spans="19:19" s="26" customFormat="1" x14ac:dyDescent="0.25">
      <c r="S238" s="48"/>
    </row>
    <row r="239" spans="19:19" s="26" customFormat="1" x14ac:dyDescent="0.25">
      <c r="S239" s="48"/>
    </row>
    <row r="240" spans="19:19" s="26" customFormat="1" x14ac:dyDescent="0.25">
      <c r="S240" s="48"/>
    </row>
    <row r="241" spans="19:19" s="26" customFormat="1" x14ac:dyDescent="0.25">
      <c r="S241" s="48"/>
    </row>
    <row r="242" spans="19:19" s="26" customFormat="1" x14ac:dyDescent="0.25">
      <c r="S242" s="48"/>
    </row>
    <row r="243" spans="19:19" s="26" customFormat="1" x14ac:dyDescent="0.25">
      <c r="S243" s="48"/>
    </row>
    <row r="244" spans="19:19" s="26" customFormat="1" x14ac:dyDescent="0.25">
      <c r="S244" s="48"/>
    </row>
    <row r="245" spans="19:19" s="26" customFormat="1" x14ac:dyDescent="0.25">
      <c r="S245" s="48"/>
    </row>
    <row r="246" spans="19:19" s="26" customFormat="1" x14ac:dyDescent="0.25">
      <c r="S246" s="48"/>
    </row>
    <row r="247" spans="19:19" s="26" customFormat="1" x14ac:dyDescent="0.25">
      <c r="S247" s="48"/>
    </row>
    <row r="248" spans="19:19" s="26" customFormat="1" x14ac:dyDescent="0.25">
      <c r="S248" s="48"/>
    </row>
    <row r="249" spans="19:19" s="26" customFormat="1" x14ac:dyDescent="0.25">
      <c r="S249" s="48"/>
    </row>
    <row r="250" spans="19:19" s="26" customFormat="1" x14ac:dyDescent="0.25">
      <c r="S250" s="48"/>
    </row>
    <row r="251" spans="19:19" s="26" customFormat="1" x14ac:dyDescent="0.25">
      <c r="S251" s="48"/>
    </row>
    <row r="252" spans="19:19" s="26" customFormat="1" x14ac:dyDescent="0.25">
      <c r="S252" s="48"/>
    </row>
    <row r="253" spans="19:19" s="26" customFormat="1" x14ac:dyDescent="0.25">
      <c r="S253" s="48"/>
    </row>
    <row r="254" spans="19:19" s="26" customFormat="1" x14ac:dyDescent="0.25">
      <c r="S254" s="48"/>
    </row>
    <row r="255" spans="19:19" s="26" customFormat="1" x14ac:dyDescent="0.25">
      <c r="S255" s="48"/>
    </row>
    <row r="256" spans="19:19" s="26" customFormat="1" x14ac:dyDescent="0.25">
      <c r="S256" s="48"/>
    </row>
    <row r="257" spans="19:19" s="26" customFormat="1" x14ac:dyDescent="0.25">
      <c r="S257" s="48"/>
    </row>
    <row r="258" spans="19:19" s="26" customFormat="1" x14ac:dyDescent="0.25">
      <c r="S258" s="48"/>
    </row>
    <row r="259" spans="19:19" s="26" customFormat="1" x14ac:dyDescent="0.25">
      <c r="S259" s="48"/>
    </row>
    <row r="260" spans="19:19" s="26" customFormat="1" x14ac:dyDescent="0.25">
      <c r="S260" s="48"/>
    </row>
    <row r="261" spans="19:19" s="26" customFormat="1" x14ac:dyDescent="0.25">
      <c r="S261" s="48"/>
    </row>
    <row r="262" spans="19:19" s="26" customFormat="1" x14ac:dyDescent="0.25">
      <c r="S262" s="48"/>
    </row>
    <row r="263" spans="19:19" s="26" customFormat="1" x14ac:dyDescent="0.25">
      <c r="S263" s="48"/>
    </row>
    <row r="264" spans="19:19" s="26" customFormat="1" x14ac:dyDescent="0.25">
      <c r="S264" s="48"/>
    </row>
    <row r="265" spans="19:19" s="26" customFormat="1" x14ac:dyDescent="0.25">
      <c r="S265" s="48"/>
    </row>
    <row r="266" spans="19:19" s="26" customFormat="1" x14ac:dyDescent="0.25">
      <c r="S266" s="48"/>
    </row>
    <row r="267" spans="19:19" s="26" customFormat="1" x14ac:dyDescent="0.25">
      <c r="S267" s="48"/>
    </row>
    <row r="268" spans="19:19" s="26" customFormat="1" x14ac:dyDescent="0.25">
      <c r="S268" s="48"/>
    </row>
    <row r="269" spans="19:19" s="26" customFormat="1" x14ac:dyDescent="0.25">
      <c r="S269" s="48"/>
    </row>
    <row r="270" spans="19:19" s="26" customFormat="1" x14ac:dyDescent="0.25">
      <c r="S270" s="48"/>
    </row>
    <row r="271" spans="19:19" s="26" customFormat="1" x14ac:dyDescent="0.25">
      <c r="S271" s="48"/>
    </row>
    <row r="272" spans="19:19" s="26" customFormat="1" x14ac:dyDescent="0.25">
      <c r="S272" s="48"/>
    </row>
    <row r="273" spans="19:19" s="26" customFormat="1" x14ac:dyDescent="0.25">
      <c r="S273" s="48"/>
    </row>
    <row r="274" spans="19:19" s="26" customFormat="1" x14ac:dyDescent="0.25">
      <c r="S274" s="48"/>
    </row>
    <row r="275" spans="19:19" s="26" customFormat="1" x14ac:dyDescent="0.25">
      <c r="S275" s="48"/>
    </row>
    <row r="276" spans="19:19" s="26" customFormat="1" x14ac:dyDescent="0.25">
      <c r="S276" s="48"/>
    </row>
    <row r="277" spans="19:19" s="26" customFormat="1" x14ac:dyDescent="0.25">
      <c r="S277" s="48"/>
    </row>
    <row r="278" spans="19:19" s="26" customFormat="1" x14ac:dyDescent="0.25">
      <c r="S278" s="48"/>
    </row>
    <row r="279" spans="19:19" s="26" customFormat="1" x14ac:dyDescent="0.25">
      <c r="S279" s="48"/>
    </row>
    <row r="280" spans="19:19" s="26" customFormat="1" x14ac:dyDescent="0.25">
      <c r="S280" s="48"/>
    </row>
    <row r="281" spans="19:19" s="26" customFormat="1" x14ac:dyDescent="0.25">
      <c r="S281" s="48"/>
    </row>
    <row r="282" spans="19:19" s="26" customFormat="1" x14ac:dyDescent="0.25">
      <c r="S282" s="48"/>
    </row>
    <row r="283" spans="19:19" s="26" customFormat="1" x14ac:dyDescent="0.25">
      <c r="S283" s="48"/>
    </row>
    <row r="284" spans="19:19" s="26" customFormat="1" x14ac:dyDescent="0.25">
      <c r="S284" s="48"/>
    </row>
    <row r="285" spans="19:19" s="26" customFormat="1" x14ac:dyDescent="0.25">
      <c r="S285" s="48"/>
    </row>
    <row r="286" spans="19:19" s="26" customFormat="1" x14ac:dyDescent="0.25">
      <c r="S286" s="48"/>
    </row>
    <row r="287" spans="19:19" s="26" customFormat="1" x14ac:dyDescent="0.25">
      <c r="S287" s="48"/>
    </row>
    <row r="288" spans="19:19" s="26" customFormat="1" x14ac:dyDescent="0.25">
      <c r="S288" s="48"/>
    </row>
    <row r="289" spans="19:19" s="26" customFormat="1" x14ac:dyDescent="0.25">
      <c r="S289" s="48"/>
    </row>
    <row r="290" spans="19:19" s="26" customFormat="1" x14ac:dyDescent="0.25">
      <c r="S290" s="48"/>
    </row>
    <row r="291" spans="19:19" s="26" customFormat="1" x14ac:dyDescent="0.25">
      <c r="S291" s="48"/>
    </row>
    <row r="292" spans="19:19" s="26" customFormat="1" x14ac:dyDescent="0.25">
      <c r="S292" s="48"/>
    </row>
    <row r="293" spans="19:19" s="26" customFormat="1" x14ac:dyDescent="0.25">
      <c r="S293" s="48"/>
    </row>
    <row r="294" spans="19:19" s="26" customFormat="1" x14ac:dyDescent="0.25">
      <c r="S294" s="48"/>
    </row>
    <row r="295" spans="19:19" s="26" customFormat="1" x14ac:dyDescent="0.25">
      <c r="S295" s="48"/>
    </row>
    <row r="296" spans="19:19" s="26" customFormat="1" x14ac:dyDescent="0.25">
      <c r="S296" s="48"/>
    </row>
    <row r="297" spans="19:19" s="26" customFormat="1" x14ac:dyDescent="0.25">
      <c r="S297" s="48"/>
    </row>
    <row r="298" spans="19:19" s="26" customFormat="1" x14ac:dyDescent="0.25">
      <c r="S298" s="48"/>
    </row>
    <row r="299" spans="19:19" s="26" customFormat="1" x14ac:dyDescent="0.25">
      <c r="S299" s="48"/>
    </row>
    <row r="300" spans="19:19" s="26" customFormat="1" x14ac:dyDescent="0.25">
      <c r="S300" s="48"/>
    </row>
    <row r="301" spans="19:19" s="26" customFormat="1" x14ac:dyDescent="0.25">
      <c r="S301" s="48"/>
    </row>
    <row r="302" spans="19:19" s="26" customFormat="1" x14ac:dyDescent="0.25">
      <c r="S302" s="48"/>
    </row>
    <row r="303" spans="19:19" s="26" customFormat="1" x14ac:dyDescent="0.25">
      <c r="S303" s="48"/>
    </row>
    <row r="304" spans="19:19" s="26" customFormat="1" x14ac:dyDescent="0.25">
      <c r="S304" s="48"/>
    </row>
    <row r="305" spans="19:19" s="26" customFormat="1" x14ac:dyDescent="0.25">
      <c r="S305" s="48"/>
    </row>
    <row r="306" spans="19:19" s="26" customFormat="1" x14ac:dyDescent="0.25">
      <c r="S306" s="48"/>
    </row>
    <row r="307" spans="19:19" s="26" customFormat="1" x14ac:dyDescent="0.25">
      <c r="S307" s="48"/>
    </row>
    <row r="308" spans="19:19" s="26" customFormat="1" x14ac:dyDescent="0.25">
      <c r="S308" s="48"/>
    </row>
    <row r="309" spans="19:19" s="26" customFormat="1" x14ac:dyDescent="0.25">
      <c r="S309" s="48"/>
    </row>
    <row r="310" spans="19:19" s="26" customFormat="1" x14ac:dyDescent="0.25">
      <c r="S310" s="48"/>
    </row>
    <row r="311" spans="19:19" s="26" customFormat="1" x14ac:dyDescent="0.25">
      <c r="S311" s="48"/>
    </row>
    <row r="312" spans="19:19" s="26" customFormat="1" x14ac:dyDescent="0.25">
      <c r="S312" s="48"/>
    </row>
    <row r="313" spans="19:19" s="26" customFormat="1" x14ac:dyDescent="0.25">
      <c r="S313" s="48"/>
    </row>
    <row r="314" spans="19:19" s="26" customFormat="1" x14ac:dyDescent="0.25">
      <c r="S314" s="48"/>
    </row>
    <row r="315" spans="19:19" s="26" customFormat="1" x14ac:dyDescent="0.25">
      <c r="S315" s="48"/>
    </row>
    <row r="316" spans="19:19" s="26" customFormat="1" x14ac:dyDescent="0.25">
      <c r="S316" s="48"/>
    </row>
    <row r="317" spans="19:19" s="26" customFormat="1" x14ac:dyDescent="0.25">
      <c r="S317" s="48"/>
    </row>
    <row r="318" spans="19:19" s="26" customFormat="1" x14ac:dyDescent="0.25">
      <c r="S318" s="48"/>
    </row>
    <row r="319" spans="19:19" s="26" customFormat="1" x14ac:dyDescent="0.25">
      <c r="S319" s="48"/>
    </row>
    <row r="320" spans="19:19" s="26" customFormat="1" x14ac:dyDescent="0.25">
      <c r="S320" s="48"/>
    </row>
    <row r="321" spans="19:19" s="26" customFormat="1" x14ac:dyDescent="0.25">
      <c r="S321" s="48"/>
    </row>
    <row r="322" spans="19:19" s="26" customFormat="1" x14ac:dyDescent="0.25">
      <c r="S322" s="48"/>
    </row>
    <row r="323" spans="19:19" s="26" customFormat="1" x14ac:dyDescent="0.25">
      <c r="S323" s="48"/>
    </row>
    <row r="324" spans="19:19" s="26" customFormat="1" x14ac:dyDescent="0.25">
      <c r="S324" s="48"/>
    </row>
    <row r="325" spans="19:19" s="26" customFormat="1" x14ac:dyDescent="0.25">
      <c r="S325" s="48"/>
    </row>
    <row r="326" spans="19:19" s="26" customFormat="1" x14ac:dyDescent="0.25">
      <c r="S326" s="48"/>
    </row>
    <row r="327" spans="19:19" s="26" customFormat="1" x14ac:dyDescent="0.25">
      <c r="S327" s="48"/>
    </row>
    <row r="328" spans="19:19" s="26" customFormat="1" x14ac:dyDescent="0.25">
      <c r="S328" s="48"/>
    </row>
    <row r="329" spans="19:19" s="26" customFormat="1" x14ac:dyDescent="0.25">
      <c r="S329" s="48"/>
    </row>
    <row r="330" spans="19:19" s="26" customFormat="1" x14ac:dyDescent="0.25">
      <c r="S330" s="48"/>
    </row>
    <row r="331" spans="19:19" s="26" customFormat="1" x14ac:dyDescent="0.25">
      <c r="S331" s="48"/>
    </row>
    <row r="332" spans="19:19" s="26" customFormat="1" x14ac:dyDescent="0.25">
      <c r="S332" s="48"/>
    </row>
    <row r="333" spans="19:19" s="26" customFormat="1" x14ac:dyDescent="0.25">
      <c r="S333" s="48"/>
    </row>
    <row r="334" spans="19:19" s="26" customFormat="1" x14ac:dyDescent="0.25">
      <c r="S334" s="48"/>
    </row>
    <row r="335" spans="19:19" s="26" customFormat="1" x14ac:dyDescent="0.25">
      <c r="S335" s="48"/>
    </row>
    <row r="336" spans="19:19" s="26" customFormat="1" x14ac:dyDescent="0.25">
      <c r="S336" s="48"/>
    </row>
    <row r="337" spans="19:19" s="26" customFormat="1" x14ac:dyDescent="0.25">
      <c r="S337" s="48"/>
    </row>
    <row r="338" spans="19:19" s="26" customFormat="1" x14ac:dyDescent="0.25">
      <c r="S338" s="48"/>
    </row>
    <row r="339" spans="19:19" s="26" customFormat="1" x14ac:dyDescent="0.25">
      <c r="S339" s="48"/>
    </row>
    <row r="340" spans="19:19" s="26" customFormat="1" x14ac:dyDescent="0.25">
      <c r="S340" s="48"/>
    </row>
    <row r="341" spans="19:19" s="26" customFormat="1" x14ac:dyDescent="0.25">
      <c r="S341" s="48"/>
    </row>
    <row r="342" spans="19:19" s="26" customFormat="1" x14ac:dyDescent="0.25">
      <c r="S342" s="48"/>
    </row>
    <row r="343" spans="19:19" s="26" customFormat="1" x14ac:dyDescent="0.25">
      <c r="S343" s="48"/>
    </row>
    <row r="344" spans="19:19" s="26" customFormat="1" x14ac:dyDescent="0.25">
      <c r="S344" s="48"/>
    </row>
    <row r="345" spans="19:19" s="26" customFormat="1" x14ac:dyDescent="0.25">
      <c r="S345" s="48"/>
    </row>
    <row r="346" spans="19:19" s="26" customFormat="1" x14ac:dyDescent="0.25">
      <c r="S346" s="48"/>
    </row>
    <row r="347" spans="19:19" s="26" customFormat="1" x14ac:dyDescent="0.25">
      <c r="S347" s="48"/>
    </row>
    <row r="348" spans="19:19" s="26" customFormat="1" x14ac:dyDescent="0.25">
      <c r="S348" s="48"/>
    </row>
    <row r="349" spans="19:19" s="26" customFormat="1" x14ac:dyDescent="0.25">
      <c r="S349" s="48"/>
    </row>
    <row r="350" spans="19:19" s="26" customFormat="1" x14ac:dyDescent="0.25">
      <c r="S350" s="48"/>
    </row>
    <row r="351" spans="19:19" s="26" customFormat="1" x14ac:dyDescent="0.25">
      <c r="S351" s="48"/>
    </row>
    <row r="352" spans="19:19" s="26" customFormat="1" x14ac:dyDescent="0.25">
      <c r="S352" s="48"/>
    </row>
    <row r="353" spans="19:19" s="26" customFormat="1" x14ac:dyDescent="0.25">
      <c r="S353" s="48"/>
    </row>
    <row r="354" spans="19:19" s="26" customFormat="1" x14ac:dyDescent="0.25">
      <c r="S354" s="48"/>
    </row>
    <row r="355" spans="19:19" s="26" customFormat="1" x14ac:dyDescent="0.25">
      <c r="S355" s="48"/>
    </row>
    <row r="356" spans="19:19" s="26" customFormat="1" x14ac:dyDescent="0.25">
      <c r="S356" s="48"/>
    </row>
    <row r="357" spans="19:19" s="26" customFormat="1" x14ac:dyDescent="0.25">
      <c r="S357" s="48"/>
    </row>
    <row r="358" spans="19:19" s="26" customFormat="1" x14ac:dyDescent="0.25">
      <c r="S358" s="48"/>
    </row>
    <row r="359" spans="19:19" s="26" customFormat="1" x14ac:dyDescent="0.25">
      <c r="S359" s="48"/>
    </row>
    <row r="360" spans="19:19" s="26" customFormat="1" x14ac:dyDescent="0.25">
      <c r="S360" s="48"/>
    </row>
    <row r="361" spans="19:19" s="26" customFormat="1" x14ac:dyDescent="0.25">
      <c r="S361" s="48"/>
    </row>
    <row r="362" spans="19:19" s="26" customFormat="1" x14ac:dyDescent="0.25">
      <c r="S362" s="48"/>
    </row>
    <row r="363" spans="19:19" s="26" customFormat="1" x14ac:dyDescent="0.25">
      <c r="S363" s="48"/>
    </row>
    <row r="364" spans="19:19" s="26" customFormat="1" x14ac:dyDescent="0.25">
      <c r="S364" s="48"/>
    </row>
    <row r="365" spans="19:19" s="26" customFormat="1" x14ac:dyDescent="0.25">
      <c r="S365" s="48"/>
    </row>
    <row r="366" spans="19:19" s="26" customFormat="1" x14ac:dyDescent="0.25">
      <c r="S366" s="48"/>
    </row>
    <row r="367" spans="19:19" s="26" customFormat="1" x14ac:dyDescent="0.25">
      <c r="S367" s="48"/>
    </row>
    <row r="368" spans="19:19" s="26" customFormat="1" x14ac:dyDescent="0.25">
      <c r="S368" s="48"/>
    </row>
    <row r="369" spans="19:19" s="26" customFormat="1" x14ac:dyDescent="0.25">
      <c r="S369" s="48"/>
    </row>
    <row r="370" spans="19:19" s="26" customFormat="1" x14ac:dyDescent="0.25">
      <c r="S370" s="48"/>
    </row>
    <row r="371" spans="19:19" s="26" customFormat="1" x14ac:dyDescent="0.25">
      <c r="S371" s="48"/>
    </row>
    <row r="372" spans="19:19" s="26" customFormat="1" x14ac:dyDescent="0.25">
      <c r="S372" s="48"/>
    </row>
    <row r="373" spans="19:19" s="26" customFormat="1" x14ac:dyDescent="0.25">
      <c r="S373" s="48"/>
    </row>
    <row r="374" spans="19:19" s="26" customFormat="1" x14ac:dyDescent="0.25">
      <c r="S374" s="48"/>
    </row>
    <row r="375" spans="19:19" s="26" customFormat="1" x14ac:dyDescent="0.25">
      <c r="S375" s="48"/>
    </row>
    <row r="376" spans="19:19" s="26" customFormat="1" x14ac:dyDescent="0.25">
      <c r="S376" s="48"/>
    </row>
    <row r="377" spans="19:19" s="26" customFormat="1" x14ac:dyDescent="0.25">
      <c r="S377" s="48"/>
    </row>
    <row r="378" spans="19:19" s="26" customFormat="1" x14ac:dyDescent="0.25">
      <c r="S378" s="48"/>
    </row>
    <row r="379" spans="19:19" s="26" customFormat="1" x14ac:dyDescent="0.25">
      <c r="S379" s="48"/>
    </row>
    <row r="380" spans="19:19" s="26" customFormat="1" x14ac:dyDescent="0.25">
      <c r="S380" s="48"/>
    </row>
    <row r="381" spans="19:19" s="26" customFormat="1" x14ac:dyDescent="0.25">
      <c r="S381" s="48"/>
    </row>
    <row r="382" spans="19:19" s="26" customFormat="1" x14ac:dyDescent="0.25">
      <c r="S382" s="48"/>
    </row>
    <row r="383" spans="19:19" s="26" customFormat="1" x14ac:dyDescent="0.25">
      <c r="S383" s="48"/>
    </row>
    <row r="384" spans="19:19" s="26" customFormat="1" x14ac:dyDescent="0.25">
      <c r="S384" s="48"/>
    </row>
    <row r="385" spans="19:19" s="26" customFormat="1" x14ac:dyDescent="0.25">
      <c r="S385" s="48"/>
    </row>
    <row r="386" spans="19:19" s="26" customFormat="1" x14ac:dyDescent="0.25">
      <c r="S386" s="48"/>
    </row>
    <row r="387" spans="19:19" s="26" customFormat="1" x14ac:dyDescent="0.25">
      <c r="S387" s="48"/>
    </row>
    <row r="388" spans="19:19" s="26" customFormat="1" x14ac:dyDescent="0.25">
      <c r="S388" s="48"/>
    </row>
    <row r="389" spans="19:19" s="26" customFormat="1" x14ac:dyDescent="0.25">
      <c r="S389" s="48"/>
    </row>
    <row r="390" spans="19:19" s="26" customFormat="1" x14ac:dyDescent="0.25">
      <c r="S390" s="48"/>
    </row>
    <row r="391" spans="19:19" s="26" customFormat="1" x14ac:dyDescent="0.25">
      <c r="S391" s="48"/>
    </row>
    <row r="392" spans="19:19" s="26" customFormat="1" x14ac:dyDescent="0.25">
      <c r="S392" s="48"/>
    </row>
    <row r="393" spans="19:19" s="26" customFormat="1" x14ac:dyDescent="0.25">
      <c r="S393" s="48"/>
    </row>
    <row r="394" spans="19:19" s="26" customFormat="1" x14ac:dyDescent="0.25">
      <c r="S394" s="48"/>
    </row>
    <row r="395" spans="19:19" s="26" customFormat="1" x14ac:dyDescent="0.25">
      <c r="S395" s="48"/>
    </row>
    <row r="396" spans="19:19" s="26" customFormat="1" x14ac:dyDescent="0.25">
      <c r="S396" s="48"/>
    </row>
    <row r="397" spans="19:19" s="26" customFormat="1" x14ac:dyDescent="0.25">
      <c r="S397" s="48"/>
    </row>
    <row r="398" spans="19:19" s="26" customFormat="1" x14ac:dyDescent="0.25">
      <c r="S398" s="48"/>
    </row>
    <row r="399" spans="19:19" s="26" customFormat="1" x14ac:dyDescent="0.25">
      <c r="S399" s="48"/>
    </row>
    <row r="400" spans="19:19" s="26" customFormat="1" x14ac:dyDescent="0.25">
      <c r="S400" s="48"/>
    </row>
    <row r="401" spans="19:19" s="26" customFormat="1" x14ac:dyDescent="0.25">
      <c r="S401" s="48"/>
    </row>
    <row r="402" spans="19:19" s="26" customFormat="1" x14ac:dyDescent="0.25">
      <c r="S402" s="48"/>
    </row>
    <row r="403" spans="19:19" s="26" customFormat="1" x14ac:dyDescent="0.25">
      <c r="S403" s="48"/>
    </row>
    <row r="404" spans="19:19" s="26" customFormat="1" x14ac:dyDescent="0.25">
      <c r="S404" s="48"/>
    </row>
    <row r="405" spans="19:19" s="26" customFormat="1" x14ac:dyDescent="0.25">
      <c r="S405" s="48"/>
    </row>
    <row r="406" spans="19:19" s="26" customFormat="1" x14ac:dyDescent="0.25">
      <c r="S406" s="48"/>
    </row>
    <row r="407" spans="19:19" s="26" customFormat="1" x14ac:dyDescent="0.25">
      <c r="S407" s="48"/>
    </row>
    <row r="408" spans="19:19" s="26" customFormat="1" x14ac:dyDescent="0.25">
      <c r="S408" s="48"/>
    </row>
    <row r="409" spans="19:19" s="26" customFormat="1" x14ac:dyDescent="0.25">
      <c r="S409" s="48"/>
    </row>
    <row r="410" spans="19:19" s="26" customFormat="1" x14ac:dyDescent="0.25">
      <c r="S410" s="48"/>
    </row>
    <row r="411" spans="19:19" s="26" customFormat="1" x14ac:dyDescent="0.25">
      <c r="S411" s="48"/>
    </row>
    <row r="412" spans="19:19" s="26" customFormat="1" x14ac:dyDescent="0.25">
      <c r="S412" s="48"/>
    </row>
    <row r="413" spans="19:19" s="26" customFormat="1" x14ac:dyDescent="0.25">
      <c r="S413" s="48"/>
    </row>
    <row r="414" spans="19:19" s="26" customFormat="1" x14ac:dyDescent="0.25">
      <c r="S414" s="48"/>
    </row>
    <row r="415" spans="19:19" s="26" customFormat="1" x14ac:dyDescent="0.25">
      <c r="S415" s="48"/>
    </row>
    <row r="416" spans="19:19" s="26" customFormat="1" x14ac:dyDescent="0.25">
      <c r="S416" s="48"/>
    </row>
    <row r="417" spans="19:19" s="26" customFormat="1" x14ac:dyDescent="0.25">
      <c r="S417" s="48"/>
    </row>
    <row r="418" spans="19:19" s="26" customFormat="1" x14ac:dyDescent="0.25">
      <c r="S418" s="48"/>
    </row>
    <row r="419" spans="19:19" s="26" customFormat="1" x14ac:dyDescent="0.25">
      <c r="S419" s="48"/>
    </row>
    <row r="420" spans="19:19" s="26" customFormat="1" x14ac:dyDescent="0.25">
      <c r="S420" s="48"/>
    </row>
    <row r="421" spans="19:19" s="26" customFormat="1" x14ac:dyDescent="0.25">
      <c r="S421" s="48"/>
    </row>
    <row r="422" spans="19:19" s="26" customFormat="1" x14ac:dyDescent="0.25">
      <c r="S422" s="48"/>
    </row>
    <row r="423" spans="19:19" s="26" customFormat="1" x14ac:dyDescent="0.25">
      <c r="S423" s="48"/>
    </row>
    <row r="424" spans="19:19" s="26" customFormat="1" x14ac:dyDescent="0.25">
      <c r="S424" s="48"/>
    </row>
    <row r="425" spans="19:19" s="26" customFormat="1" x14ac:dyDescent="0.25">
      <c r="S425" s="48"/>
    </row>
    <row r="426" spans="19:19" s="26" customFormat="1" x14ac:dyDescent="0.25">
      <c r="S426" s="48"/>
    </row>
    <row r="427" spans="19:19" s="26" customFormat="1" x14ac:dyDescent="0.25">
      <c r="S427" s="48"/>
    </row>
    <row r="428" spans="19:19" s="26" customFormat="1" x14ac:dyDescent="0.25">
      <c r="S428" s="48"/>
    </row>
    <row r="429" spans="19:19" s="26" customFormat="1" x14ac:dyDescent="0.25">
      <c r="S429" s="48"/>
    </row>
    <row r="430" spans="19:19" s="26" customFormat="1" x14ac:dyDescent="0.25">
      <c r="S430" s="48"/>
    </row>
    <row r="431" spans="19:19" s="26" customFormat="1" x14ac:dyDescent="0.25">
      <c r="S431" s="48"/>
    </row>
    <row r="432" spans="19:19" s="26" customFormat="1" x14ac:dyDescent="0.25">
      <c r="S432" s="48"/>
    </row>
    <row r="433" spans="19:19" s="26" customFormat="1" x14ac:dyDescent="0.25">
      <c r="S433" s="48"/>
    </row>
    <row r="434" spans="19:19" s="26" customFormat="1" x14ac:dyDescent="0.25">
      <c r="S434" s="48"/>
    </row>
    <row r="435" spans="19:19" s="26" customFormat="1" x14ac:dyDescent="0.25">
      <c r="S435" s="48"/>
    </row>
    <row r="436" spans="19:19" s="26" customFormat="1" x14ac:dyDescent="0.25">
      <c r="S436" s="48"/>
    </row>
    <row r="437" spans="19:19" s="26" customFormat="1" x14ac:dyDescent="0.25">
      <c r="S437" s="48"/>
    </row>
    <row r="438" spans="19:19" s="26" customFormat="1" x14ac:dyDescent="0.25">
      <c r="S438" s="48"/>
    </row>
    <row r="439" spans="19:19" s="26" customFormat="1" x14ac:dyDescent="0.25">
      <c r="S439" s="48"/>
    </row>
    <row r="440" spans="19:19" s="26" customFormat="1" x14ac:dyDescent="0.25">
      <c r="S440" s="48"/>
    </row>
    <row r="441" spans="19:19" s="26" customFormat="1" x14ac:dyDescent="0.25">
      <c r="S441" s="48"/>
    </row>
    <row r="442" spans="19:19" s="26" customFormat="1" x14ac:dyDescent="0.25">
      <c r="S442" s="48"/>
    </row>
    <row r="443" spans="19:19" s="26" customFormat="1" x14ac:dyDescent="0.25">
      <c r="S443" s="48"/>
    </row>
    <row r="444" spans="19:19" s="26" customFormat="1" x14ac:dyDescent="0.25">
      <c r="S444" s="48"/>
    </row>
    <row r="445" spans="19:19" s="26" customFormat="1" x14ac:dyDescent="0.25">
      <c r="S445" s="48"/>
    </row>
    <row r="446" spans="19:19" s="26" customFormat="1" x14ac:dyDescent="0.25">
      <c r="S446" s="48"/>
    </row>
    <row r="447" spans="19:19" s="26" customFormat="1" x14ac:dyDescent="0.25">
      <c r="S447" s="48"/>
    </row>
    <row r="448" spans="19:19" s="26" customFormat="1" x14ac:dyDescent="0.25">
      <c r="S448" s="48"/>
    </row>
    <row r="449" spans="19:19" s="26" customFormat="1" x14ac:dyDescent="0.25">
      <c r="S449" s="48"/>
    </row>
    <row r="450" spans="19:19" s="26" customFormat="1" x14ac:dyDescent="0.25">
      <c r="S450" s="48"/>
    </row>
    <row r="451" spans="19:19" s="26" customFormat="1" x14ac:dyDescent="0.25">
      <c r="S451" s="48"/>
    </row>
    <row r="452" spans="19:19" s="26" customFormat="1" x14ac:dyDescent="0.25">
      <c r="S452" s="48"/>
    </row>
    <row r="453" spans="19:19" s="26" customFormat="1" x14ac:dyDescent="0.25">
      <c r="S453" s="48"/>
    </row>
    <row r="454" spans="19:19" s="26" customFormat="1" x14ac:dyDescent="0.25">
      <c r="S454" s="48"/>
    </row>
    <row r="455" spans="19:19" s="26" customFormat="1" x14ac:dyDescent="0.25">
      <c r="S455" s="48"/>
    </row>
    <row r="456" spans="19:19" s="26" customFormat="1" x14ac:dyDescent="0.25">
      <c r="S456" s="48"/>
    </row>
    <row r="457" spans="19:19" s="26" customFormat="1" x14ac:dyDescent="0.25">
      <c r="S457" s="48"/>
    </row>
    <row r="458" spans="19:19" s="26" customFormat="1" x14ac:dyDescent="0.25">
      <c r="S458" s="48"/>
    </row>
    <row r="459" spans="19:19" s="26" customFormat="1" x14ac:dyDescent="0.25">
      <c r="S459" s="48"/>
    </row>
    <row r="460" spans="19:19" s="26" customFormat="1" x14ac:dyDescent="0.25">
      <c r="S460" s="48"/>
    </row>
    <row r="461" spans="19:19" s="26" customFormat="1" x14ac:dyDescent="0.25">
      <c r="S461" s="48"/>
    </row>
    <row r="462" spans="19:19" s="26" customFormat="1" x14ac:dyDescent="0.25">
      <c r="S462" s="48"/>
    </row>
    <row r="463" spans="19:19" s="26" customFormat="1" x14ac:dyDescent="0.25">
      <c r="S463" s="48"/>
    </row>
    <row r="464" spans="19:19" s="26" customFormat="1" x14ac:dyDescent="0.25">
      <c r="S464" s="48"/>
    </row>
    <row r="465" spans="19:19" s="26" customFormat="1" x14ac:dyDescent="0.25">
      <c r="S465" s="48"/>
    </row>
    <row r="466" spans="19:19" s="26" customFormat="1" x14ac:dyDescent="0.25">
      <c r="S466" s="48"/>
    </row>
    <row r="467" spans="19:19" s="26" customFormat="1" x14ac:dyDescent="0.25">
      <c r="S467" s="48"/>
    </row>
    <row r="468" spans="19:19" s="26" customFormat="1" x14ac:dyDescent="0.25">
      <c r="S468" s="48"/>
    </row>
    <row r="469" spans="19:19" s="26" customFormat="1" x14ac:dyDescent="0.25">
      <c r="S469" s="48"/>
    </row>
    <row r="470" spans="19:19" s="26" customFormat="1" x14ac:dyDescent="0.25">
      <c r="S470" s="48"/>
    </row>
    <row r="471" spans="19:19" s="26" customFormat="1" x14ac:dyDescent="0.25">
      <c r="S471" s="48"/>
    </row>
    <row r="472" spans="19:19" s="26" customFormat="1" x14ac:dyDescent="0.25">
      <c r="S472" s="48"/>
    </row>
    <row r="473" spans="19:19" s="26" customFormat="1" x14ac:dyDescent="0.25">
      <c r="S473" s="48"/>
    </row>
    <row r="474" spans="19:19" s="26" customFormat="1" x14ac:dyDescent="0.25">
      <c r="S474" s="48"/>
    </row>
    <row r="475" spans="19:19" s="26" customFormat="1" x14ac:dyDescent="0.25">
      <c r="S475" s="48"/>
    </row>
    <row r="476" spans="19:19" s="26" customFormat="1" x14ac:dyDescent="0.25">
      <c r="S476" s="48"/>
    </row>
    <row r="477" spans="19:19" s="26" customFormat="1" x14ac:dyDescent="0.25">
      <c r="S477" s="48"/>
    </row>
    <row r="478" spans="19:19" s="26" customFormat="1" x14ac:dyDescent="0.25">
      <c r="S478" s="48"/>
    </row>
    <row r="479" spans="19:19" s="26" customFormat="1" x14ac:dyDescent="0.25">
      <c r="S479" s="48"/>
    </row>
    <row r="480" spans="19:19" s="26" customFormat="1" x14ac:dyDescent="0.25">
      <c r="S480" s="48"/>
    </row>
    <row r="481" spans="19:19" s="26" customFormat="1" x14ac:dyDescent="0.25">
      <c r="S481" s="48"/>
    </row>
    <row r="482" spans="19:19" s="26" customFormat="1" x14ac:dyDescent="0.25">
      <c r="S482" s="48"/>
    </row>
    <row r="483" spans="19:19" s="26" customFormat="1" x14ac:dyDescent="0.25">
      <c r="S483" s="48"/>
    </row>
    <row r="484" spans="19:19" s="26" customFormat="1" x14ac:dyDescent="0.25">
      <c r="S484" s="48"/>
    </row>
    <row r="485" spans="19:19" s="26" customFormat="1" x14ac:dyDescent="0.25">
      <c r="S485" s="48"/>
    </row>
    <row r="486" spans="19:19" s="26" customFormat="1" x14ac:dyDescent="0.25">
      <c r="S486" s="48"/>
    </row>
    <row r="487" spans="19:19" s="26" customFormat="1" x14ac:dyDescent="0.25">
      <c r="S487" s="48"/>
    </row>
    <row r="488" spans="19:19" s="26" customFormat="1" x14ac:dyDescent="0.25">
      <c r="S488" s="48"/>
    </row>
    <row r="489" spans="19:19" s="26" customFormat="1" x14ac:dyDescent="0.25">
      <c r="S489" s="48"/>
    </row>
    <row r="490" spans="19:19" s="26" customFormat="1" x14ac:dyDescent="0.25">
      <c r="S490" s="48"/>
    </row>
    <row r="491" spans="19:19" s="26" customFormat="1" x14ac:dyDescent="0.25">
      <c r="S491" s="48"/>
    </row>
    <row r="492" spans="19:19" s="26" customFormat="1" x14ac:dyDescent="0.25">
      <c r="S492" s="48"/>
    </row>
    <row r="493" spans="19:19" s="26" customFormat="1" x14ac:dyDescent="0.25">
      <c r="S493" s="48"/>
    </row>
    <row r="494" spans="19:19" s="26" customFormat="1" x14ac:dyDescent="0.25">
      <c r="S494" s="48"/>
    </row>
    <row r="495" spans="19:19" s="26" customFormat="1" x14ac:dyDescent="0.25">
      <c r="S495" s="48"/>
    </row>
    <row r="496" spans="19:19" s="26" customFormat="1" x14ac:dyDescent="0.25">
      <c r="S496" s="48"/>
    </row>
    <row r="497" spans="19:19" s="26" customFormat="1" x14ac:dyDescent="0.25">
      <c r="S497" s="48"/>
    </row>
    <row r="498" spans="19:19" s="26" customFormat="1" x14ac:dyDescent="0.25">
      <c r="S498" s="48"/>
    </row>
    <row r="499" spans="19:19" s="26" customFormat="1" x14ac:dyDescent="0.25">
      <c r="S499" s="48"/>
    </row>
    <row r="500" spans="19:19" s="26" customFormat="1" x14ac:dyDescent="0.25">
      <c r="S500" s="48"/>
    </row>
    <row r="501" spans="19:19" s="26" customFormat="1" x14ac:dyDescent="0.25">
      <c r="S501" s="48"/>
    </row>
    <row r="502" spans="19:19" s="26" customFormat="1" x14ac:dyDescent="0.25">
      <c r="S502" s="48"/>
    </row>
    <row r="503" spans="19:19" s="26" customFormat="1" x14ac:dyDescent="0.25">
      <c r="S503" s="48"/>
    </row>
    <row r="504" spans="19:19" s="26" customFormat="1" x14ac:dyDescent="0.25">
      <c r="S504" s="48"/>
    </row>
    <row r="505" spans="19:19" s="26" customFormat="1" x14ac:dyDescent="0.25">
      <c r="S505" s="48"/>
    </row>
    <row r="506" spans="19:19" s="26" customFormat="1" x14ac:dyDescent="0.25">
      <c r="S506" s="48"/>
    </row>
    <row r="507" spans="19:19" s="26" customFormat="1" x14ac:dyDescent="0.25">
      <c r="S507" s="48"/>
    </row>
    <row r="508" spans="19:19" s="26" customFormat="1" x14ac:dyDescent="0.25">
      <c r="S508" s="48"/>
    </row>
    <row r="509" spans="19:19" s="26" customFormat="1" x14ac:dyDescent="0.25">
      <c r="S509" s="48"/>
    </row>
    <row r="510" spans="19:19" s="26" customFormat="1" x14ac:dyDescent="0.25">
      <c r="S510" s="48"/>
    </row>
    <row r="511" spans="19:19" s="26" customFormat="1" x14ac:dyDescent="0.25">
      <c r="S511" s="48"/>
    </row>
    <row r="512" spans="19:19" s="26" customFormat="1" x14ac:dyDescent="0.25">
      <c r="S512" s="48"/>
    </row>
    <row r="513" spans="19:19" s="26" customFormat="1" x14ac:dyDescent="0.25">
      <c r="S513" s="48"/>
    </row>
    <row r="514" spans="19:19" s="26" customFormat="1" x14ac:dyDescent="0.25">
      <c r="S514" s="48"/>
    </row>
    <row r="515" spans="19:19" s="26" customFormat="1" x14ac:dyDescent="0.25">
      <c r="S515" s="48"/>
    </row>
    <row r="516" spans="19:19" s="26" customFormat="1" x14ac:dyDescent="0.25">
      <c r="S516" s="48"/>
    </row>
    <row r="517" spans="19:19" s="26" customFormat="1" x14ac:dyDescent="0.25">
      <c r="S517" s="48"/>
    </row>
    <row r="518" spans="19:19" s="26" customFormat="1" x14ac:dyDescent="0.25">
      <c r="S518" s="48"/>
    </row>
    <row r="519" spans="19:19" s="26" customFormat="1" x14ac:dyDescent="0.25">
      <c r="S519" s="48"/>
    </row>
    <row r="520" spans="19:19" s="26" customFormat="1" x14ac:dyDescent="0.25">
      <c r="S520" s="48"/>
    </row>
    <row r="521" spans="19:19" s="26" customFormat="1" x14ac:dyDescent="0.25">
      <c r="S521" s="48"/>
    </row>
    <row r="522" spans="19:19" s="26" customFormat="1" x14ac:dyDescent="0.25">
      <c r="S522" s="48"/>
    </row>
    <row r="523" spans="19:19" s="26" customFormat="1" x14ac:dyDescent="0.25">
      <c r="S523" s="48"/>
    </row>
    <row r="524" spans="19:19" s="26" customFormat="1" x14ac:dyDescent="0.25">
      <c r="S524" s="48"/>
    </row>
    <row r="525" spans="19:19" s="26" customFormat="1" x14ac:dyDescent="0.25">
      <c r="S525" s="48"/>
    </row>
    <row r="526" spans="19:19" s="26" customFormat="1" x14ac:dyDescent="0.25">
      <c r="S526" s="48"/>
    </row>
    <row r="527" spans="19:19" s="26" customFormat="1" x14ac:dyDescent="0.25">
      <c r="S527" s="48"/>
    </row>
    <row r="528" spans="19:19" s="26" customFormat="1" x14ac:dyDescent="0.25">
      <c r="S528" s="48"/>
    </row>
    <row r="529" spans="19:19" s="26" customFormat="1" x14ac:dyDescent="0.25">
      <c r="S529" s="48"/>
    </row>
    <row r="530" spans="19:19" s="26" customFormat="1" x14ac:dyDescent="0.25">
      <c r="S530" s="48"/>
    </row>
    <row r="531" spans="19:19" s="26" customFormat="1" x14ac:dyDescent="0.25">
      <c r="S531" s="48"/>
    </row>
    <row r="532" spans="19:19" s="26" customFormat="1" x14ac:dyDescent="0.25">
      <c r="S532" s="48"/>
    </row>
    <row r="533" spans="19:19" s="26" customFormat="1" x14ac:dyDescent="0.25">
      <c r="S533" s="48"/>
    </row>
    <row r="534" spans="19:19" s="26" customFormat="1" x14ac:dyDescent="0.25">
      <c r="S534" s="48"/>
    </row>
    <row r="535" spans="19:19" s="26" customFormat="1" x14ac:dyDescent="0.25">
      <c r="S535" s="48"/>
    </row>
    <row r="536" spans="19:19" s="26" customFormat="1" x14ac:dyDescent="0.25">
      <c r="S536" s="48"/>
    </row>
    <row r="537" spans="19:19" s="26" customFormat="1" x14ac:dyDescent="0.25">
      <c r="S537" s="48"/>
    </row>
    <row r="538" spans="19:19" s="26" customFormat="1" x14ac:dyDescent="0.25">
      <c r="S538" s="48"/>
    </row>
    <row r="539" spans="19:19" s="26" customFormat="1" x14ac:dyDescent="0.25">
      <c r="S539" s="48"/>
    </row>
    <row r="540" spans="19:19" s="26" customFormat="1" x14ac:dyDescent="0.25">
      <c r="S540" s="48"/>
    </row>
    <row r="541" spans="19:19" s="26" customFormat="1" x14ac:dyDescent="0.25">
      <c r="S541" s="48"/>
    </row>
    <row r="542" spans="19:19" s="26" customFormat="1" x14ac:dyDescent="0.25">
      <c r="S542" s="48"/>
    </row>
    <row r="543" spans="19:19" s="26" customFormat="1" x14ac:dyDescent="0.25">
      <c r="S543" s="48"/>
    </row>
    <row r="544" spans="19:19" s="26" customFormat="1" x14ac:dyDescent="0.25">
      <c r="S544" s="48"/>
    </row>
    <row r="545" spans="19:19" s="26" customFormat="1" x14ac:dyDescent="0.25">
      <c r="S545" s="48"/>
    </row>
    <row r="546" spans="19:19" s="26" customFormat="1" x14ac:dyDescent="0.25">
      <c r="S546" s="48"/>
    </row>
    <row r="547" spans="19:19" s="26" customFormat="1" x14ac:dyDescent="0.25">
      <c r="S547" s="48"/>
    </row>
    <row r="548" spans="19:19" s="26" customFormat="1" x14ac:dyDescent="0.25">
      <c r="S548" s="48"/>
    </row>
    <row r="549" spans="19:19" s="26" customFormat="1" x14ac:dyDescent="0.25">
      <c r="S549" s="48"/>
    </row>
    <row r="550" spans="19:19" s="26" customFormat="1" x14ac:dyDescent="0.25">
      <c r="S550" s="48"/>
    </row>
    <row r="551" spans="19:19" s="26" customFormat="1" x14ac:dyDescent="0.25">
      <c r="S551" s="48"/>
    </row>
    <row r="552" spans="19:19" s="26" customFormat="1" x14ac:dyDescent="0.25">
      <c r="S552" s="48"/>
    </row>
    <row r="553" spans="19:19" s="26" customFormat="1" x14ac:dyDescent="0.25">
      <c r="S553" s="48"/>
    </row>
    <row r="554" spans="19:19" s="26" customFormat="1" x14ac:dyDescent="0.25">
      <c r="S554" s="48"/>
    </row>
    <row r="555" spans="19:19" s="26" customFormat="1" x14ac:dyDescent="0.25">
      <c r="S555" s="48"/>
    </row>
    <row r="556" spans="19:19" s="26" customFormat="1" x14ac:dyDescent="0.25">
      <c r="S556" s="48"/>
    </row>
    <row r="557" spans="19:19" s="26" customFormat="1" x14ac:dyDescent="0.25">
      <c r="S557" s="48"/>
    </row>
    <row r="558" spans="19:19" s="26" customFormat="1" x14ac:dyDescent="0.25">
      <c r="S558" s="48"/>
    </row>
    <row r="559" spans="19:19" s="26" customFormat="1" x14ac:dyDescent="0.25">
      <c r="S559" s="48"/>
    </row>
    <row r="560" spans="19:19" s="26" customFormat="1" x14ac:dyDescent="0.25">
      <c r="S560" s="48"/>
    </row>
    <row r="561" spans="19:19" s="26" customFormat="1" x14ac:dyDescent="0.25">
      <c r="S561" s="48"/>
    </row>
    <row r="562" spans="19:19" s="26" customFormat="1" x14ac:dyDescent="0.25">
      <c r="S562" s="48"/>
    </row>
    <row r="563" spans="19:19" s="26" customFormat="1" x14ac:dyDescent="0.25">
      <c r="S563" s="48"/>
    </row>
    <row r="564" spans="19:19" s="26" customFormat="1" x14ac:dyDescent="0.25">
      <c r="S564" s="48"/>
    </row>
    <row r="565" spans="19:19" s="26" customFormat="1" x14ac:dyDescent="0.25">
      <c r="S565" s="48"/>
    </row>
    <row r="566" spans="19:19" s="26" customFormat="1" x14ac:dyDescent="0.25">
      <c r="S566" s="48"/>
    </row>
    <row r="567" spans="19:19" s="26" customFormat="1" x14ac:dyDescent="0.25">
      <c r="S567" s="48"/>
    </row>
    <row r="568" spans="19:19" s="26" customFormat="1" x14ac:dyDescent="0.25">
      <c r="S568" s="48"/>
    </row>
    <row r="569" spans="19:19" s="26" customFormat="1" x14ac:dyDescent="0.25">
      <c r="S569" s="48"/>
    </row>
    <row r="570" spans="19:19" s="26" customFormat="1" x14ac:dyDescent="0.25">
      <c r="S570" s="48"/>
    </row>
    <row r="571" spans="19:19" s="26" customFormat="1" x14ac:dyDescent="0.25">
      <c r="S571" s="48"/>
    </row>
    <row r="572" spans="19:19" s="26" customFormat="1" x14ac:dyDescent="0.25">
      <c r="S572" s="48"/>
    </row>
    <row r="573" spans="19:19" s="26" customFormat="1" x14ac:dyDescent="0.25">
      <c r="S573" s="48"/>
    </row>
    <row r="574" spans="19:19" s="26" customFormat="1" x14ac:dyDescent="0.25">
      <c r="S574" s="48"/>
    </row>
    <row r="575" spans="19:19" s="26" customFormat="1" x14ac:dyDescent="0.25">
      <c r="S575" s="48"/>
    </row>
    <row r="576" spans="19:19" s="26" customFormat="1" x14ac:dyDescent="0.25">
      <c r="S576" s="48"/>
    </row>
    <row r="577" spans="19:19" s="26" customFormat="1" x14ac:dyDescent="0.25">
      <c r="S577" s="48"/>
    </row>
    <row r="578" spans="19:19" s="26" customFormat="1" x14ac:dyDescent="0.25">
      <c r="S578" s="48"/>
    </row>
    <row r="579" spans="19:19" s="26" customFormat="1" x14ac:dyDescent="0.25">
      <c r="S579" s="48"/>
    </row>
    <row r="580" spans="19:19" s="26" customFormat="1" x14ac:dyDescent="0.25">
      <c r="S580" s="48"/>
    </row>
    <row r="581" spans="19:19" s="26" customFormat="1" x14ac:dyDescent="0.25">
      <c r="S581" s="48"/>
    </row>
    <row r="582" spans="19:19" s="26" customFormat="1" x14ac:dyDescent="0.25">
      <c r="S582" s="48"/>
    </row>
    <row r="583" spans="19:19" s="26" customFormat="1" x14ac:dyDescent="0.25">
      <c r="S583" s="48"/>
    </row>
    <row r="584" spans="19:19" s="26" customFormat="1" x14ac:dyDescent="0.25">
      <c r="S584" s="48"/>
    </row>
    <row r="585" spans="19:19" s="26" customFormat="1" x14ac:dyDescent="0.25">
      <c r="S585" s="48"/>
    </row>
    <row r="586" spans="19:19" s="26" customFormat="1" x14ac:dyDescent="0.25">
      <c r="S586" s="48"/>
    </row>
    <row r="587" spans="19:19" s="26" customFormat="1" x14ac:dyDescent="0.25">
      <c r="S587" s="48"/>
    </row>
    <row r="588" spans="19:19" s="26" customFormat="1" x14ac:dyDescent="0.25">
      <c r="S588" s="48"/>
    </row>
    <row r="589" spans="19:19" s="26" customFormat="1" x14ac:dyDescent="0.25">
      <c r="S589" s="48"/>
    </row>
    <row r="590" spans="19:19" s="26" customFormat="1" x14ac:dyDescent="0.25">
      <c r="S590" s="48"/>
    </row>
    <row r="591" spans="19:19" s="26" customFormat="1" x14ac:dyDescent="0.25">
      <c r="S591" s="48"/>
    </row>
    <row r="592" spans="19:19" s="26" customFormat="1" x14ac:dyDescent="0.25">
      <c r="S592" s="48"/>
    </row>
    <row r="593" spans="19:19" s="26" customFormat="1" x14ac:dyDescent="0.25">
      <c r="S593" s="48"/>
    </row>
    <row r="594" spans="19:19" s="26" customFormat="1" x14ac:dyDescent="0.25">
      <c r="S594" s="48"/>
    </row>
    <row r="595" spans="19:19" s="26" customFormat="1" x14ac:dyDescent="0.25">
      <c r="S595" s="48"/>
    </row>
    <row r="596" spans="19:19" s="26" customFormat="1" x14ac:dyDescent="0.25">
      <c r="S596" s="48"/>
    </row>
    <row r="597" spans="19:19" s="26" customFormat="1" x14ac:dyDescent="0.25">
      <c r="S597" s="48"/>
    </row>
    <row r="598" spans="19:19" s="26" customFormat="1" x14ac:dyDescent="0.25">
      <c r="S598" s="48"/>
    </row>
  </sheetData>
  <sheetProtection algorithmName="SHA-512" hashValue="Zvf+vUy8h6S9R1ffmviuSkdm25CgirEtN0rWTLpXBVmgamlqpYsZMmwGlZuHJBETnd7ejANDYB+th1UWCnrQpQ==" saltValue="9JSk9HQ0xC7kbWbc+qvp3w==" spinCount="100000" sheet="1" selectLockedCells="1"/>
  <mergeCells count="4">
    <mergeCell ref="A32:R32"/>
    <mergeCell ref="N1:R2"/>
    <mergeCell ref="N19:R20"/>
    <mergeCell ref="A18:R18"/>
  </mergeCells>
  <conditionalFormatting sqref="C4:C14">
    <cfRule type="cellIs" dxfId="1" priority="2" operator="greaterThan">
      <formula>9</formula>
    </cfRule>
  </conditionalFormatting>
  <conditionalFormatting sqref="C22:C31">
    <cfRule type="cellIs" dxfId="0" priority="1" operator="greaterThan">
      <formula>9</formula>
    </cfRule>
  </conditionalFormatting>
  <dataValidations count="4">
    <dataValidation type="list" allowBlank="1" showInputMessage="1" showErrorMessage="1" sqref="F4:F14 F22:F31" xr:uid="{AEA2145C-F5E6-42D2-9EF2-5DDB5ADA6C70}">
      <formula1>"White, Grey"</formula1>
    </dataValidation>
    <dataValidation type="whole" operator="greaterThanOrEqual" allowBlank="1" showInputMessage="1" showErrorMessage="1" error="This does not meet Picote's minimum recommended number of coats for your chosen pipe diameter." sqref="C5:C14 C23:C31" xr:uid="{77F9743B-1B75-48C8-874D-13134A4C48BA}">
      <formula1>2</formula1>
    </dataValidation>
    <dataValidation type="whole" operator="greaterThanOrEqual" allowBlank="1" showInputMessage="1" showErrorMessage="1" error="This does not meet Picote's minimum recommended number of coats for your chosen pipe diameter." prompt="Enter number of coats based on minimum recomended" sqref="C22 C4" xr:uid="{A0C1CA8A-A287-40BB-A1C4-C3E637891242}">
      <formula1>2</formula1>
    </dataValidation>
    <dataValidation allowBlank="1" showInputMessage="1" showErrorMessage="1" prompt="Length of delivery hose is length of pipe + length from pipe to pump" sqref="E4 E22" xr:uid="{E80E5BE6-BA5C-4A30-97D7-8DCC42365A2C}"/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A729D92-82A2-4F75-B9FB-D5D928FDAC52}">
          <x14:formula1>
            <xm:f>'RT Calculator'!$B$2:$B$13</xm:f>
          </x14:formula1>
          <xm:sqref>A5:A13</xm:sqref>
        </x14:dataValidation>
        <x14:dataValidation type="list" allowBlank="1" showInputMessage="1" showErrorMessage="1" xr:uid="{7759C16E-88AD-4081-8BD9-CD20B7FBD3F6}">
          <x14:formula1>
            <xm:f>'RT Calculator'!$A$2:$A$13</xm:f>
          </x14:formula1>
          <xm:sqref>A23:A31</xm:sqref>
        </x14:dataValidation>
        <x14:dataValidation type="list" allowBlank="1" showInputMessage="1" showErrorMessage="1" prompt="Select Pipe Diameter" xr:uid="{687DE826-CC04-42A9-83CC-E64D4C34737B}">
          <x14:formula1>
            <xm:f>'RT Calculator'!$A$2:$A$13</xm:f>
          </x14:formula1>
          <xm:sqref>A22</xm:sqref>
        </x14:dataValidation>
        <x14:dataValidation type="list" allowBlank="1" showInputMessage="1" showErrorMessage="1" prompt="Select Pipe Diameter" xr:uid="{7C5C4FA2-B706-402E-9ECF-872444159753}">
          <x14:formula1>
            <xm:f>'RT Calculator'!$B$2:$B$13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Z701"/>
  <sheetViews>
    <sheetView zoomScale="75" zoomScaleNormal="75" zoomScalePageLayoutView="145" workbookViewId="0">
      <selection activeCell="F9" sqref="F9"/>
    </sheetView>
  </sheetViews>
  <sheetFormatPr defaultColWidth="8.85546875" defaultRowHeight="15" x14ac:dyDescent="0.25"/>
  <cols>
    <col min="1" max="1" width="7.5703125" customWidth="1"/>
    <col min="2" max="2" width="13.7109375" bestFit="1" customWidth="1"/>
    <col min="3" max="3" width="23.28515625" customWidth="1"/>
    <col min="4" max="4" width="14.5703125" customWidth="1"/>
    <col min="5" max="5" width="12.7109375" customWidth="1"/>
    <col min="6" max="6" width="18.7109375" customWidth="1"/>
    <col min="7" max="7" width="20.5703125" customWidth="1"/>
    <col min="8" max="8" width="14.28515625" bestFit="1" customWidth="1"/>
    <col min="9" max="9" width="8.7109375" bestFit="1" customWidth="1"/>
    <col min="10" max="10" width="19.140625" customWidth="1"/>
    <col min="11" max="11" width="16.85546875" bestFit="1" customWidth="1"/>
    <col min="12" max="12" width="10.5703125" customWidth="1"/>
    <col min="13" max="13" width="13.28515625" bestFit="1" customWidth="1"/>
    <col min="14" max="15" width="12.28515625" bestFit="1" customWidth="1"/>
    <col min="16" max="16" width="12.7109375" customWidth="1"/>
    <col min="17" max="17" width="13" customWidth="1"/>
    <col min="18" max="19" width="14.5703125" bestFit="1" customWidth="1"/>
    <col min="20" max="20" width="14.7109375" bestFit="1" customWidth="1"/>
    <col min="21" max="21" width="0" hidden="1" customWidth="1"/>
    <col min="22" max="52" width="8.85546875" style="26"/>
  </cols>
  <sheetData>
    <row r="1" spans="1:52" s="26" customFormat="1" ht="33.6" customHeight="1" x14ac:dyDescent="0.5">
      <c r="A1" s="179"/>
      <c r="B1" s="28"/>
      <c r="C1" s="197" t="s">
        <v>89</v>
      </c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8"/>
      <c r="P1" s="190" t="s">
        <v>1</v>
      </c>
      <c r="Q1" s="190"/>
      <c r="R1" s="190"/>
      <c r="S1" s="190"/>
      <c r="T1" s="191"/>
    </row>
    <row r="2" spans="1:52" s="26" customFormat="1" ht="39" customHeight="1" thickBot="1" x14ac:dyDescent="0.3">
      <c r="A2" s="180"/>
      <c r="B2" s="182"/>
      <c r="C2" s="199" t="s">
        <v>2</v>
      </c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200"/>
      <c r="P2" s="192"/>
      <c r="Q2" s="192"/>
      <c r="R2" s="192"/>
      <c r="S2" s="192"/>
      <c r="T2" s="193"/>
    </row>
    <row r="3" spans="1:52" ht="88.5" thickBot="1" x14ac:dyDescent="0.3">
      <c r="A3" s="34" t="s">
        <v>46</v>
      </c>
      <c r="B3" s="84" t="s">
        <v>47</v>
      </c>
      <c r="C3" s="19" t="s">
        <v>86</v>
      </c>
      <c r="D3" s="19" t="s">
        <v>48</v>
      </c>
      <c r="E3" s="20" t="s">
        <v>5</v>
      </c>
      <c r="F3" s="20" t="s">
        <v>6</v>
      </c>
      <c r="G3" s="20" t="s">
        <v>87</v>
      </c>
      <c r="H3" s="20" t="s">
        <v>49</v>
      </c>
      <c r="I3" s="20" t="s">
        <v>9</v>
      </c>
      <c r="J3" s="21" t="s">
        <v>10</v>
      </c>
      <c r="K3" s="21" t="s">
        <v>11</v>
      </c>
      <c r="L3" s="21" t="s">
        <v>12</v>
      </c>
      <c r="M3" s="21" t="s">
        <v>13</v>
      </c>
      <c r="N3" s="21" t="s">
        <v>14</v>
      </c>
      <c r="O3" s="21" t="s">
        <v>15</v>
      </c>
      <c r="P3" s="20" t="s">
        <v>16</v>
      </c>
      <c r="Q3" s="20" t="s">
        <v>17</v>
      </c>
      <c r="R3" s="20" t="s">
        <v>18</v>
      </c>
      <c r="S3" s="22" t="s">
        <v>19</v>
      </c>
      <c r="T3" s="23" t="s">
        <v>50</v>
      </c>
      <c r="U3" s="27" t="s">
        <v>21</v>
      </c>
    </row>
    <row r="4" spans="1:52" s="124" customFormat="1" ht="21" x14ac:dyDescent="0.35">
      <c r="A4" s="118">
        <v>1</v>
      </c>
      <c r="B4" s="119" t="s">
        <v>22</v>
      </c>
      <c r="C4" s="109">
        <f>VLOOKUP(B4,'RT Calculator'!$K$2:$L$13,2,0)</f>
        <v>2</v>
      </c>
      <c r="D4" s="120"/>
      <c r="E4" s="110"/>
      <c r="F4" s="110"/>
      <c r="G4" s="110"/>
      <c r="H4" s="110"/>
      <c r="I4" s="111" t="str">
        <f t="shared" ref="I4:I13" si="0">IF(MOD(E4,2)=0,"Even","odd")</f>
        <v>Even</v>
      </c>
      <c r="J4" s="112">
        <f>L4*G4*25</f>
        <v>0</v>
      </c>
      <c r="K4" s="112">
        <f>M4*G4*25</f>
        <v>0</v>
      </c>
      <c r="L4" s="112">
        <f t="shared" ref="L4:L13" si="1">IF(I4="EVEN",E4/2,IF(H4="Grey",(E4-1)/2+1,(E4-1)/2))</f>
        <v>0</v>
      </c>
      <c r="M4" s="112">
        <f t="shared" ref="M4:M13" si="2">IF(I4="EVEN",E4/2,IF(H4="White",((E4-1)/2+1),(E4-1)/2))</f>
        <v>0</v>
      </c>
      <c r="N4" s="112">
        <f>((VLOOKUP($B4,'RT Calculator'!B2:D16,3,FALSE)*L4*F4)+J4)*D4</f>
        <v>0</v>
      </c>
      <c r="O4" s="112">
        <f>((VLOOKUP($B4,'RT Calculator'!B2:D16,3,FALSE)*M4*F4)+K4)*D4</f>
        <v>0</v>
      </c>
      <c r="P4" s="113">
        <f>ROUNDUP(N4/900,0)</f>
        <v>0</v>
      </c>
      <c r="Q4" s="113">
        <f>ROUNDUP(O4/900,0)</f>
        <v>0</v>
      </c>
      <c r="R4" s="114">
        <f>ROUNDUP(P4/6,0)</f>
        <v>0</v>
      </c>
      <c r="S4" s="114">
        <f>ROUNDUP(Q4/6,0)</f>
        <v>0</v>
      </c>
      <c r="T4" s="121">
        <f>ROUNDUP((MAX(P4,Q4)/3),0)</f>
        <v>0</v>
      </c>
      <c r="U4" s="122" t="str">
        <f>B4</f>
        <v>1.25"</v>
      </c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</row>
    <row r="5" spans="1:52" s="124" customFormat="1" ht="21" x14ac:dyDescent="0.35">
      <c r="A5" s="94">
        <v>2</v>
      </c>
      <c r="B5" s="122" t="s">
        <v>51</v>
      </c>
      <c r="C5" s="95">
        <f>VLOOKUP(B5,'RT Calculator'!$K$2:$L$13,2,0)</f>
        <v>2</v>
      </c>
      <c r="D5" s="125"/>
      <c r="E5" s="96"/>
      <c r="F5" s="96"/>
      <c r="G5" s="96"/>
      <c r="H5" s="96"/>
      <c r="I5" s="97" t="str">
        <f t="shared" si="0"/>
        <v>Even</v>
      </c>
      <c r="J5" s="98">
        <f t="shared" ref="J5:J13" si="3">L5*G5*25</f>
        <v>0</v>
      </c>
      <c r="K5" s="98">
        <f t="shared" ref="K5:K13" si="4">M5*G5*25</f>
        <v>0</v>
      </c>
      <c r="L5" s="98">
        <f t="shared" si="1"/>
        <v>0</v>
      </c>
      <c r="M5" s="98">
        <f t="shared" si="2"/>
        <v>0</v>
      </c>
      <c r="N5" s="98">
        <f>((VLOOKUP($B5,'RT Calculator'!B3:D17,3,FALSE)*L5*F5)+J5)*D5</f>
        <v>0</v>
      </c>
      <c r="O5" s="98">
        <f>((VLOOKUP($B5,'RT Calculator'!B3:D17,3,FALSE)*M5*F5)+K5)*D5</f>
        <v>0</v>
      </c>
      <c r="P5" s="99">
        <f>ROUNDUP(N5/900,0)</f>
        <v>0</v>
      </c>
      <c r="Q5" s="99">
        <f>ROUNDUP(O5/900,0)</f>
        <v>0</v>
      </c>
      <c r="R5" s="100">
        <f t="shared" ref="R5:R12" si="5">ROUNDUP(P5/6,0)</f>
        <v>0</v>
      </c>
      <c r="S5" s="100">
        <f t="shared" ref="S5:S12" si="6">ROUNDUP(Q5/6,0)</f>
        <v>0</v>
      </c>
      <c r="T5" s="126">
        <f t="shared" ref="T5:T13" si="7">ROUNDUP((MAX(P5,Q5)/3),0)</f>
        <v>0</v>
      </c>
      <c r="U5" s="122" t="str">
        <f t="shared" ref="U5:U13" si="8">B5</f>
        <v>1.5"</v>
      </c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</row>
    <row r="6" spans="1:52" s="124" customFormat="1" ht="21" x14ac:dyDescent="0.35">
      <c r="A6" s="94">
        <v>3</v>
      </c>
      <c r="B6" s="122" t="s">
        <v>24</v>
      </c>
      <c r="C6" s="95">
        <f>VLOOKUP(B6,'RT Calculator'!$K$2:$L$13,2,0)</f>
        <v>2</v>
      </c>
      <c r="D6" s="125"/>
      <c r="E6" s="96"/>
      <c r="F6" s="96"/>
      <c r="G6" s="96"/>
      <c r="H6" s="96"/>
      <c r="I6" s="97" t="str">
        <f t="shared" si="0"/>
        <v>Even</v>
      </c>
      <c r="J6" s="98">
        <f t="shared" si="3"/>
        <v>0</v>
      </c>
      <c r="K6" s="98">
        <f t="shared" si="4"/>
        <v>0</v>
      </c>
      <c r="L6" s="98">
        <f t="shared" si="1"/>
        <v>0</v>
      </c>
      <c r="M6" s="98">
        <f t="shared" si="2"/>
        <v>0</v>
      </c>
      <c r="N6" s="98">
        <f>((VLOOKUP($B6,'RT Calculator'!B4:D18,3,FALSE)*L6*F6)+J6)*D6</f>
        <v>0</v>
      </c>
      <c r="O6" s="98">
        <f>((VLOOKUP($B6,'RT Calculator'!B4:D18,3,FALSE)*M6*F6)+K6)*D6</f>
        <v>0</v>
      </c>
      <c r="P6" s="99">
        <f t="shared" ref="P6:Q10" si="9">ROUNDUP(N6/900,0)</f>
        <v>0</v>
      </c>
      <c r="Q6" s="99">
        <f t="shared" si="9"/>
        <v>0</v>
      </c>
      <c r="R6" s="100">
        <f t="shared" si="5"/>
        <v>0</v>
      </c>
      <c r="S6" s="100">
        <f t="shared" si="6"/>
        <v>0</v>
      </c>
      <c r="T6" s="126">
        <f t="shared" si="7"/>
        <v>0</v>
      </c>
      <c r="U6" s="122" t="str">
        <f t="shared" si="8"/>
        <v>2"</v>
      </c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</row>
    <row r="7" spans="1:52" s="124" customFormat="1" ht="21" x14ac:dyDescent="0.35">
      <c r="A7" s="94">
        <v>4</v>
      </c>
      <c r="B7" s="122" t="s">
        <v>25</v>
      </c>
      <c r="C7" s="95">
        <f>VLOOKUP(B7,'RT Calculator'!$K$2:$L$13,2,0)</f>
        <v>2</v>
      </c>
      <c r="D7" s="125"/>
      <c r="E7" s="96"/>
      <c r="F7" s="96"/>
      <c r="G7" s="96"/>
      <c r="H7" s="96"/>
      <c r="I7" s="97" t="str">
        <f t="shared" ref="I7" si="10">IF(MOD(E7,2)=0,"Even","odd")</f>
        <v>Even</v>
      </c>
      <c r="J7" s="98">
        <f t="shared" ref="J7" si="11">L7*G7*25</f>
        <v>0</v>
      </c>
      <c r="K7" s="98">
        <f t="shared" ref="K7" si="12">M7*G7*25</f>
        <v>0</v>
      </c>
      <c r="L7" s="98">
        <f t="shared" ref="L7" si="13">IF(I7="EVEN",E7/2,IF(H7="Grey",(E7-1)/2+1,(E7-1)/2))</f>
        <v>0</v>
      </c>
      <c r="M7" s="98">
        <f t="shared" ref="M7" si="14">IF(I7="EVEN",E7/2,IF(H7="White",((E7-1)/2+1),(E7-1)/2))</f>
        <v>0</v>
      </c>
      <c r="N7" s="98">
        <f>((VLOOKUP($B7,'RT Calculator'!B5:D19,3,FALSE)*L7*F7)+J7)*D7</f>
        <v>0</v>
      </c>
      <c r="O7" s="98">
        <f>((VLOOKUP($B7,'RT Calculator'!B5:D19,3,FALSE)*M7*F7)+K7)*D7</f>
        <v>0</v>
      </c>
      <c r="P7" s="99">
        <f t="shared" ref="P7" si="15">ROUNDUP(N7/900,0)</f>
        <v>0</v>
      </c>
      <c r="Q7" s="99">
        <f t="shared" ref="Q7" si="16">ROUNDUP(O7/900,0)</f>
        <v>0</v>
      </c>
      <c r="R7" s="100">
        <f t="shared" si="5"/>
        <v>0</v>
      </c>
      <c r="S7" s="100">
        <f t="shared" si="6"/>
        <v>0</v>
      </c>
      <c r="T7" s="126">
        <f t="shared" si="7"/>
        <v>0</v>
      </c>
      <c r="U7" s="122" t="str">
        <f t="shared" si="8"/>
        <v>2.5"</v>
      </c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3"/>
      <c r="AO7" s="123"/>
      <c r="AP7" s="123"/>
      <c r="AQ7" s="123"/>
      <c r="AR7" s="123"/>
      <c r="AS7" s="123"/>
      <c r="AT7" s="123"/>
      <c r="AU7" s="123"/>
      <c r="AV7" s="123"/>
      <c r="AW7" s="123"/>
      <c r="AX7" s="123"/>
      <c r="AY7" s="123"/>
      <c r="AZ7" s="123"/>
    </row>
    <row r="8" spans="1:52" s="124" customFormat="1" ht="21" x14ac:dyDescent="0.35">
      <c r="A8" s="94">
        <v>5</v>
      </c>
      <c r="B8" s="122" t="s">
        <v>26</v>
      </c>
      <c r="C8" s="95" t="str">
        <f>VLOOKUP(B8,'RT Calculator'!$K$2:$L$13,2,0)</f>
        <v>3 to 4</v>
      </c>
      <c r="D8" s="125"/>
      <c r="E8" s="96"/>
      <c r="F8" s="96"/>
      <c r="G8" s="96"/>
      <c r="H8" s="96"/>
      <c r="I8" s="97" t="str">
        <f t="shared" si="0"/>
        <v>Even</v>
      </c>
      <c r="J8" s="98">
        <f t="shared" si="3"/>
        <v>0</v>
      </c>
      <c r="K8" s="98">
        <f t="shared" si="4"/>
        <v>0</v>
      </c>
      <c r="L8" s="98">
        <f t="shared" si="1"/>
        <v>0</v>
      </c>
      <c r="M8" s="98">
        <f t="shared" si="2"/>
        <v>0</v>
      </c>
      <c r="N8" s="98">
        <f>((VLOOKUP($B8,'RT Calculator'!B6:D20,3,FALSE)*L8*F8)+J8)*D8</f>
        <v>0</v>
      </c>
      <c r="O8" s="98">
        <f>((VLOOKUP($B8,'RT Calculator'!B6:D20,3,FALSE)*M8*F8)+K8)*D8</f>
        <v>0</v>
      </c>
      <c r="P8" s="99">
        <f t="shared" si="9"/>
        <v>0</v>
      </c>
      <c r="Q8" s="99">
        <f t="shared" si="9"/>
        <v>0</v>
      </c>
      <c r="R8" s="100">
        <f t="shared" si="5"/>
        <v>0</v>
      </c>
      <c r="S8" s="100">
        <f t="shared" si="6"/>
        <v>0</v>
      </c>
      <c r="T8" s="126">
        <f t="shared" si="7"/>
        <v>0</v>
      </c>
      <c r="U8" s="122" t="str">
        <f t="shared" si="8"/>
        <v>3"</v>
      </c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</row>
    <row r="9" spans="1:52" s="124" customFormat="1" ht="21" x14ac:dyDescent="0.35">
      <c r="A9" s="94">
        <v>6</v>
      </c>
      <c r="B9" s="122" t="s">
        <v>27</v>
      </c>
      <c r="C9" s="95" t="str">
        <f>VLOOKUP(B9,'RT Calculator'!$K$2:$L$13,2,0)</f>
        <v>3 to 4</v>
      </c>
      <c r="D9" s="125">
        <v>1</v>
      </c>
      <c r="E9" s="96">
        <v>4</v>
      </c>
      <c r="F9" s="96"/>
      <c r="G9" s="96">
        <v>100</v>
      </c>
      <c r="H9" s="96"/>
      <c r="I9" s="97" t="str">
        <f t="shared" si="0"/>
        <v>Even</v>
      </c>
      <c r="J9" s="98">
        <f t="shared" si="3"/>
        <v>5000</v>
      </c>
      <c r="K9" s="98">
        <f t="shared" si="4"/>
        <v>5000</v>
      </c>
      <c r="L9" s="98">
        <f t="shared" si="1"/>
        <v>2</v>
      </c>
      <c r="M9" s="98">
        <f t="shared" si="2"/>
        <v>2</v>
      </c>
      <c r="N9" s="98">
        <f>((VLOOKUP($B9,'RT Calculator'!B7:D21,3,FALSE)*L9*F9)+J9)*D9</f>
        <v>5000</v>
      </c>
      <c r="O9" s="98">
        <f>((VLOOKUP($B9,'RT Calculator'!B7:D21,3,FALSE)*M9*F9)+K9)*D9</f>
        <v>5000</v>
      </c>
      <c r="P9" s="99">
        <f t="shared" si="9"/>
        <v>6</v>
      </c>
      <c r="Q9" s="99">
        <f t="shared" si="9"/>
        <v>6</v>
      </c>
      <c r="R9" s="100">
        <f t="shared" si="5"/>
        <v>1</v>
      </c>
      <c r="S9" s="100">
        <f t="shared" si="6"/>
        <v>1</v>
      </c>
      <c r="T9" s="126">
        <f t="shared" si="7"/>
        <v>2</v>
      </c>
      <c r="U9" s="122" t="str">
        <f t="shared" si="8"/>
        <v>4"</v>
      </c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  <c r="AN9" s="123"/>
      <c r="AO9" s="123"/>
      <c r="AP9" s="123"/>
      <c r="AQ9" s="123"/>
      <c r="AR9" s="123"/>
      <c r="AS9" s="123"/>
      <c r="AT9" s="123"/>
      <c r="AU9" s="123"/>
      <c r="AV9" s="123"/>
      <c r="AW9" s="123"/>
      <c r="AX9" s="123"/>
      <c r="AY9" s="123"/>
      <c r="AZ9" s="123"/>
    </row>
    <row r="10" spans="1:52" s="124" customFormat="1" ht="21" x14ac:dyDescent="0.35">
      <c r="A10" s="94">
        <v>7</v>
      </c>
      <c r="B10" s="122" t="s">
        <v>28</v>
      </c>
      <c r="C10" s="95" t="str">
        <f>VLOOKUP(B10,'RT Calculator'!$K$2:$L$13,2,0)</f>
        <v>3 to 4</v>
      </c>
      <c r="D10" s="127"/>
      <c r="E10" s="96"/>
      <c r="F10" s="96"/>
      <c r="G10" s="96"/>
      <c r="H10" s="96"/>
      <c r="I10" s="97" t="str">
        <f t="shared" si="0"/>
        <v>Even</v>
      </c>
      <c r="J10" s="98">
        <f t="shared" si="3"/>
        <v>0</v>
      </c>
      <c r="K10" s="98">
        <f t="shared" si="4"/>
        <v>0</v>
      </c>
      <c r="L10" s="98">
        <f t="shared" si="1"/>
        <v>0</v>
      </c>
      <c r="M10" s="98">
        <f t="shared" si="2"/>
        <v>0</v>
      </c>
      <c r="N10" s="98">
        <f>((VLOOKUP($B10,'RT Calculator'!B8:D22,3,FALSE)*L10*F10)+J10)*D10</f>
        <v>0</v>
      </c>
      <c r="O10" s="98">
        <f>((VLOOKUP($B10,'RT Calculator'!B8:D22,3,FALSE)*M10*F10)+K10)*D10</f>
        <v>0</v>
      </c>
      <c r="P10" s="99">
        <f t="shared" si="9"/>
        <v>0</v>
      </c>
      <c r="Q10" s="99">
        <f t="shared" si="9"/>
        <v>0</v>
      </c>
      <c r="R10" s="100">
        <f t="shared" si="5"/>
        <v>0</v>
      </c>
      <c r="S10" s="100">
        <f t="shared" si="6"/>
        <v>0</v>
      </c>
      <c r="T10" s="126">
        <f t="shared" si="7"/>
        <v>0</v>
      </c>
      <c r="U10" s="122" t="str">
        <f t="shared" si="8"/>
        <v>5"</v>
      </c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</row>
    <row r="11" spans="1:52" s="124" customFormat="1" ht="21" x14ac:dyDescent="0.35">
      <c r="A11" s="94">
        <v>8</v>
      </c>
      <c r="B11" s="122" t="s">
        <v>29</v>
      </c>
      <c r="C11" s="95" t="str">
        <f>VLOOKUP(B11,'RT Calculator'!$K$2:$L$13,2,0)</f>
        <v>4 to 5</v>
      </c>
      <c r="D11" s="127"/>
      <c r="E11" s="96"/>
      <c r="F11" s="96"/>
      <c r="G11" s="96"/>
      <c r="H11" s="96"/>
      <c r="I11" s="97" t="str">
        <f t="shared" ref="I11" si="17">IF(MOD(E11,2)=0,"Even","odd")</f>
        <v>Even</v>
      </c>
      <c r="J11" s="98">
        <f t="shared" ref="J11" si="18">L11*G11*25</f>
        <v>0</v>
      </c>
      <c r="K11" s="98">
        <f t="shared" ref="K11" si="19">M11*G11*25</f>
        <v>0</v>
      </c>
      <c r="L11" s="98">
        <f t="shared" ref="L11" si="20">IF(I11="EVEN",E11/2,IF(H11="Grey",(E11-1)/2+1,(E11-1)/2))</f>
        <v>0</v>
      </c>
      <c r="M11" s="98">
        <f t="shared" ref="M11" si="21">IF(I11="EVEN",E11/2,IF(H11="White",((E11-1)/2+1),(E11-1)/2))</f>
        <v>0</v>
      </c>
      <c r="N11" s="98">
        <f>((VLOOKUP($B11,'RT Calculator'!B9:D23,3,FALSE)*L11*F11)+J11)*D11</f>
        <v>0</v>
      </c>
      <c r="O11" s="98">
        <f>((VLOOKUP($B11,'RT Calculator'!B9:D23,3,FALSE)*M11*F11)+K11)*D11</f>
        <v>0</v>
      </c>
      <c r="P11" s="99">
        <f t="shared" ref="P11" si="22">ROUNDUP(N11/900,0)</f>
        <v>0</v>
      </c>
      <c r="Q11" s="99">
        <f t="shared" ref="Q11" si="23">ROUNDUP(O11/900,0)</f>
        <v>0</v>
      </c>
      <c r="R11" s="100">
        <f t="shared" si="5"/>
        <v>0</v>
      </c>
      <c r="S11" s="100">
        <f t="shared" si="6"/>
        <v>0</v>
      </c>
      <c r="T11" s="126">
        <f t="shared" si="7"/>
        <v>0</v>
      </c>
      <c r="U11" s="122" t="str">
        <f t="shared" si="8"/>
        <v>6"</v>
      </c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</row>
    <row r="12" spans="1:52" s="124" customFormat="1" ht="21" x14ac:dyDescent="0.35">
      <c r="A12" s="94">
        <v>9</v>
      </c>
      <c r="B12" s="122" t="s">
        <v>52</v>
      </c>
      <c r="C12" s="95" t="str">
        <f>VLOOKUP(B12,'RT Calculator'!$K$2:$L$13,2,0)</f>
        <v>6 to 7</v>
      </c>
      <c r="D12" s="127"/>
      <c r="E12" s="96"/>
      <c r="F12" s="96"/>
      <c r="G12" s="96"/>
      <c r="H12" s="96"/>
      <c r="I12" s="97" t="str">
        <f t="shared" si="0"/>
        <v>Even</v>
      </c>
      <c r="J12" s="98">
        <f t="shared" si="3"/>
        <v>0</v>
      </c>
      <c r="K12" s="98">
        <f t="shared" si="4"/>
        <v>0</v>
      </c>
      <c r="L12" s="98">
        <f t="shared" si="1"/>
        <v>0</v>
      </c>
      <c r="M12" s="98">
        <f t="shared" si="2"/>
        <v>0</v>
      </c>
      <c r="N12" s="98">
        <f>((VLOOKUP($B12,'RT Calculator'!B10:D24,3,FALSE)*L12*F12)+J12)*D12</f>
        <v>0</v>
      </c>
      <c r="O12" s="98">
        <f>((VLOOKUP($B12,'RT Calculator'!B10:D24,3,FALSE)*M12*F12)+K12)*D12</f>
        <v>0</v>
      </c>
      <c r="P12" s="99">
        <f t="shared" ref="P12" si="24">ROUNDUP(N12/900,0)</f>
        <v>0</v>
      </c>
      <c r="Q12" s="99">
        <f t="shared" ref="Q12" si="25">ROUNDUP(O12/900,0)</f>
        <v>0</v>
      </c>
      <c r="R12" s="100">
        <f t="shared" si="5"/>
        <v>0</v>
      </c>
      <c r="S12" s="100">
        <f t="shared" si="6"/>
        <v>0</v>
      </c>
      <c r="T12" s="126">
        <f t="shared" si="7"/>
        <v>0</v>
      </c>
      <c r="U12" s="122" t="str">
        <f t="shared" si="8"/>
        <v>10"</v>
      </c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</row>
    <row r="13" spans="1:52" s="124" customFormat="1" ht="21.75" thickBot="1" x14ac:dyDescent="0.4">
      <c r="A13" s="101">
        <v>10</v>
      </c>
      <c r="B13" s="128" t="s">
        <v>53</v>
      </c>
      <c r="C13" s="129" t="str">
        <f>VLOOKUP(B13,'RT Calculator'!$K$2:$L$13,2,0)</f>
        <v>8 to 9</v>
      </c>
      <c r="D13" s="130"/>
      <c r="E13" s="131"/>
      <c r="F13" s="131"/>
      <c r="G13" s="131"/>
      <c r="H13" s="131"/>
      <c r="I13" s="128" t="str">
        <f t="shared" si="0"/>
        <v>Even</v>
      </c>
      <c r="J13" s="132">
        <f t="shared" si="3"/>
        <v>0</v>
      </c>
      <c r="K13" s="132">
        <f t="shared" si="4"/>
        <v>0</v>
      </c>
      <c r="L13" s="132">
        <f t="shared" si="1"/>
        <v>0</v>
      </c>
      <c r="M13" s="132">
        <f t="shared" si="2"/>
        <v>0</v>
      </c>
      <c r="N13" s="132">
        <f>((VLOOKUP($B13,'RT Calculator'!B11:D25,3,FALSE)*L13*F13)+J13)*D13</f>
        <v>0</v>
      </c>
      <c r="O13" s="132">
        <f>((VLOOKUP($B13,'RT Calculator'!B11:D25,3,FALSE)*M13*F13)+K13)*D13</f>
        <v>0</v>
      </c>
      <c r="P13" s="133">
        <f t="shared" ref="P13" si="26">ROUNDUP(N13/900,0)</f>
        <v>0</v>
      </c>
      <c r="Q13" s="133">
        <f t="shared" ref="Q13" si="27">ROUNDUP(O13/900,0)</f>
        <v>0</v>
      </c>
      <c r="R13" s="134">
        <f>ROUNDUP(P13/6,0)</f>
        <v>0</v>
      </c>
      <c r="S13" s="134">
        <f>ROUNDUP(Q13/6,0)</f>
        <v>0</v>
      </c>
      <c r="T13" s="135">
        <f t="shared" si="7"/>
        <v>0</v>
      </c>
      <c r="U13" s="122" t="str">
        <f t="shared" si="8"/>
        <v>12"</v>
      </c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</row>
    <row r="14" spans="1:52" ht="15.75" thickBot="1" x14ac:dyDescent="0.3">
      <c r="A14" s="35"/>
      <c r="B14" s="41"/>
      <c r="C14" s="36"/>
      <c r="D14" s="36"/>
      <c r="E14" s="37"/>
      <c r="F14" s="37"/>
      <c r="G14" s="37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42"/>
      <c r="U14" s="9"/>
    </row>
    <row r="15" spans="1:52" ht="22.9" customHeight="1" thickBot="1" x14ac:dyDescent="0.3">
      <c r="A15" s="194" t="s">
        <v>32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6"/>
      <c r="U15" s="9"/>
    </row>
    <row r="16" spans="1:52" s="31" customFormat="1" ht="33.75" x14ac:dyDescent="0.5">
      <c r="A16" s="179"/>
      <c r="B16" s="28"/>
      <c r="C16" s="197" t="s">
        <v>90</v>
      </c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8"/>
      <c r="P16" s="190" t="s">
        <v>1</v>
      </c>
      <c r="Q16" s="190"/>
      <c r="R16" s="190"/>
      <c r="S16" s="190"/>
      <c r="T16" s="191"/>
      <c r="U16" s="29" t="str">
        <f>B19</f>
        <v>32 mm</v>
      </c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</row>
    <row r="17" spans="1:52" s="31" customFormat="1" ht="30.75" customHeight="1" thickBot="1" x14ac:dyDescent="0.45">
      <c r="A17" s="180"/>
      <c r="B17" s="181"/>
      <c r="C17" s="199" t="s">
        <v>2</v>
      </c>
      <c r="D17" s="199"/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200"/>
      <c r="P17" s="192"/>
      <c r="Q17" s="192"/>
      <c r="R17" s="192"/>
      <c r="S17" s="192"/>
      <c r="T17" s="193"/>
      <c r="U17" s="29" t="str">
        <f t="shared" ref="U17:U25" si="28">B20</f>
        <v>38 mm</v>
      </c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</row>
    <row r="18" spans="1:52" s="31" customFormat="1" ht="77.25" customHeight="1" thickBot="1" x14ac:dyDescent="0.45">
      <c r="A18" s="34" t="s">
        <v>46</v>
      </c>
      <c r="B18" s="84" t="s">
        <v>34</v>
      </c>
      <c r="C18" s="19" t="s">
        <v>86</v>
      </c>
      <c r="D18" s="19" t="s">
        <v>48</v>
      </c>
      <c r="E18" s="20" t="s">
        <v>5</v>
      </c>
      <c r="F18" s="20" t="s">
        <v>35</v>
      </c>
      <c r="G18" s="20" t="s">
        <v>88</v>
      </c>
      <c r="H18" s="20" t="s">
        <v>49</v>
      </c>
      <c r="I18" s="20" t="s">
        <v>9</v>
      </c>
      <c r="J18" s="21" t="s">
        <v>10</v>
      </c>
      <c r="K18" s="21" t="s">
        <v>11</v>
      </c>
      <c r="L18" s="21" t="s">
        <v>12</v>
      </c>
      <c r="M18" s="21" t="s">
        <v>13</v>
      </c>
      <c r="N18" s="21" t="s">
        <v>14</v>
      </c>
      <c r="O18" s="21" t="s">
        <v>15</v>
      </c>
      <c r="P18" s="20" t="s">
        <v>16</v>
      </c>
      <c r="Q18" s="20" t="s">
        <v>17</v>
      </c>
      <c r="R18" s="20" t="s">
        <v>18</v>
      </c>
      <c r="S18" s="22" t="s">
        <v>19</v>
      </c>
      <c r="T18" s="23" t="s">
        <v>50</v>
      </c>
      <c r="U18" s="29" t="str">
        <f t="shared" si="28"/>
        <v>50 mm</v>
      </c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</row>
    <row r="19" spans="1:52" s="124" customFormat="1" ht="21" x14ac:dyDescent="0.35">
      <c r="A19" s="118">
        <v>1</v>
      </c>
      <c r="B19" s="136" t="s">
        <v>54</v>
      </c>
      <c r="C19" s="109">
        <f>VLOOKUP(B19,'RT Calculator'!$H$2:$I$13,2,0)</f>
        <v>2</v>
      </c>
      <c r="D19" s="137"/>
      <c r="E19" s="110"/>
      <c r="F19" s="110"/>
      <c r="G19" s="110"/>
      <c r="H19" s="110"/>
      <c r="I19" s="111" t="str">
        <f t="shared" ref="I19:I27" si="29">IF(MOD(E19,2)=0,"Even","odd")</f>
        <v>Even</v>
      </c>
      <c r="J19" s="112">
        <f t="shared" ref="J19:J27" si="30">L19*(G19*3.28084)*25</f>
        <v>0</v>
      </c>
      <c r="K19" s="112">
        <f t="shared" ref="K19:K27" si="31">M19*(G19*3.28084)*25</f>
        <v>0</v>
      </c>
      <c r="L19" s="112">
        <f t="shared" ref="L19:L27" si="32">IF(I19="EVEN",E19/2,IF(H19="Grey",(E19-1)/2+1,(E19-1)/2))</f>
        <v>0</v>
      </c>
      <c r="M19" s="112">
        <f t="shared" ref="M19:M27" si="33">IF(I19="EVEN",E19/2,IF(H19="White",((E19-1)/2+1),(E19-1)/2))</f>
        <v>0</v>
      </c>
      <c r="N19" s="112">
        <f>((VLOOKUP(($B19),'RT Calculator'!A2:D16,4,FALSE)*L19*(F19*3.28084))+J19)*D19</f>
        <v>0</v>
      </c>
      <c r="O19" s="112">
        <f>((VLOOKUP($B19,'RT Calculator'!A2:D16,4,FALSE)*M19*(F19*3.28084))+K19)*D19</f>
        <v>0</v>
      </c>
      <c r="P19" s="113">
        <f>ROUNDUP(N19/900,0)</f>
        <v>0</v>
      </c>
      <c r="Q19" s="113">
        <f t="shared" ref="P19:Q24" si="34">ROUNDUP(O19/900,0)</f>
        <v>0</v>
      </c>
      <c r="R19" s="114">
        <f>ROUNDUP(P19/6,0)</f>
        <v>0</v>
      </c>
      <c r="S19" s="114">
        <f>ROUNDUP(Q19/6,0)</f>
        <v>0</v>
      </c>
      <c r="T19" s="138">
        <f t="shared" ref="T19:T28" si="35">ROUNDUP((MAX(P19,Q19)/3),0)</f>
        <v>0</v>
      </c>
      <c r="U19" s="122" t="str">
        <f t="shared" si="28"/>
        <v>63 mm</v>
      </c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</row>
    <row r="20" spans="1:52" s="124" customFormat="1" ht="21" x14ac:dyDescent="0.35">
      <c r="A20" s="94">
        <v>2</v>
      </c>
      <c r="B20" s="139" t="s">
        <v>37</v>
      </c>
      <c r="C20" s="95">
        <f>VLOOKUP(B20,'RT Calculator'!$H$2:$I$13,2,0)</f>
        <v>2</v>
      </c>
      <c r="D20" s="127"/>
      <c r="E20" s="96"/>
      <c r="F20" s="96"/>
      <c r="G20" s="96"/>
      <c r="H20" s="96"/>
      <c r="I20" s="97" t="str">
        <f t="shared" si="29"/>
        <v>Even</v>
      </c>
      <c r="J20" s="98">
        <f t="shared" si="30"/>
        <v>0</v>
      </c>
      <c r="K20" s="98">
        <f t="shared" si="31"/>
        <v>0</v>
      </c>
      <c r="L20" s="98">
        <f t="shared" si="32"/>
        <v>0</v>
      </c>
      <c r="M20" s="98">
        <f t="shared" si="33"/>
        <v>0</v>
      </c>
      <c r="N20" s="98">
        <f>((VLOOKUP(($B20),'RT Calculator'!A3:D17,4,FALSE)*L20*(F20*3.28084))+J20)*D20</f>
        <v>0</v>
      </c>
      <c r="O20" s="98">
        <f>((VLOOKUP($B20,'RT Calculator'!A3:D17,4,FALSE)*M20*(F20*3.28084))+K20)*D20</f>
        <v>0</v>
      </c>
      <c r="P20" s="99">
        <f t="shared" si="34"/>
        <v>0</v>
      </c>
      <c r="Q20" s="99">
        <f t="shared" si="34"/>
        <v>0</v>
      </c>
      <c r="R20" s="100">
        <f t="shared" ref="R20:R28" si="36">ROUNDUP(P20/6,0)</f>
        <v>0</v>
      </c>
      <c r="S20" s="100">
        <f t="shared" ref="S20:S28" si="37">ROUNDUP(Q20/6,0)</f>
        <v>0</v>
      </c>
      <c r="T20" s="140">
        <f t="shared" si="35"/>
        <v>0</v>
      </c>
      <c r="U20" s="122" t="str">
        <f t="shared" si="28"/>
        <v>75 mm</v>
      </c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</row>
    <row r="21" spans="1:52" s="124" customFormat="1" ht="21" x14ac:dyDescent="0.35">
      <c r="A21" s="94">
        <v>3</v>
      </c>
      <c r="B21" s="139" t="s">
        <v>38</v>
      </c>
      <c r="C21" s="95">
        <f>VLOOKUP(B21,'RT Calculator'!$H$2:$I$13,2,0)</f>
        <v>2</v>
      </c>
      <c r="D21" s="127"/>
      <c r="E21" s="96"/>
      <c r="F21" s="96"/>
      <c r="G21" s="96"/>
      <c r="H21" s="96"/>
      <c r="I21" s="97" t="str">
        <f t="shared" si="29"/>
        <v>Even</v>
      </c>
      <c r="J21" s="98">
        <f t="shared" si="30"/>
        <v>0</v>
      </c>
      <c r="K21" s="98">
        <f t="shared" si="31"/>
        <v>0</v>
      </c>
      <c r="L21" s="98">
        <f t="shared" si="32"/>
        <v>0</v>
      </c>
      <c r="M21" s="98">
        <f t="shared" si="33"/>
        <v>0</v>
      </c>
      <c r="N21" s="98">
        <f>((VLOOKUP(($B21),'RT Calculator'!A4:D18,4,FALSE)*L21*(F21*3.28084))+J21)*D21</f>
        <v>0</v>
      </c>
      <c r="O21" s="98">
        <f>((VLOOKUP($B21,'RT Calculator'!A4:D18,4,FALSE)*M21*(F21*3.28084))+K21)*D21</f>
        <v>0</v>
      </c>
      <c r="P21" s="99">
        <f t="shared" si="34"/>
        <v>0</v>
      </c>
      <c r="Q21" s="99">
        <f t="shared" si="34"/>
        <v>0</v>
      </c>
      <c r="R21" s="100">
        <f t="shared" si="36"/>
        <v>0</v>
      </c>
      <c r="S21" s="100">
        <f t="shared" si="37"/>
        <v>0</v>
      </c>
      <c r="T21" s="140">
        <f t="shared" si="35"/>
        <v>0</v>
      </c>
      <c r="U21" s="122" t="str">
        <f t="shared" si="28"/>
        <v>100 mm</v>
      </c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</row>
    <row r="22" spans="1:52" s="124" customFormat="1" ht="21" x14ac:dyDescent="0.35">
      <c r="A22" s="94">
        <v>4</v>
      </c>
      <c r="B22" s="139" t="s">
        <v>39</v>
      </c>
      <c r="C22" s="95">
        <f>VLOOKUP(B22,'RT Calculator'!$H$2:$I$13,2,0)</f>
        <v>2</v>
      </c>
      <c r="D22" s="127"/>
      <c r="E22" s="96"/>
      <c r="F22" s="96"/>
      <c r="G22" s="96"/>
      <c r="H22" s="96"/>
      <c r="I22" s="97" t="str">
        <f t="shared" si="29"/>
        <v>Even</v>
      </c>
      <c r="J22" s="98">
        <f t="shared" si="30"/>
        <v>0</v>
      </c>
      <c r="K22" s="98">
        <f t="shared" si="31"/>
        <v>0</v>
      </c>
      <c r="L22" s="98">
        <f t="shared" si="32"/>
        <v>0</v>
      </c>
      <c r="M22" s="98">
        <f t="shared" si="33"/>
        <v>0</v>
      </c>
      <c r="N22" s="98">
        <f>((VLOOKUP(($B22),'RT Calculator'!A5:D19,4,FALSE)*L22*(F22*3.28084))+J22)*D22</f>
        <v>0</v>
      </c>
      <c r="O22" s="98">
        <f>((VLOOKUP($B22,'RT Calculator'!A5:D19,4,FALSE)*M22*(F22*3.28084))+K22)*D22</f>
        <v>0</v>
      </c>
      <c r="P22" s="99">
        <f t="shared" si="34"/>
        <v>0</v>
      </c>
      <c r="Q22" s="99">
        <f t="shared" si="34"/>
        <v>0</v>
      </c>
      <c r="R22" s="100">
        <f t="shared" si="36"/>
        <v>0</v>
      </c>
      <c r="S22" s="100">
        <f t="shared" si="37"/>
        <v>0</v>
      </c>
      <c r="T22" s="140">
        <f t="shared" si="35"/>
        <v>0</v>
      </c>
      <c r="U22" s="122" t="str">
        <f t="shared" si="28"/>
        <v>125 mm</v>
      </c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</row>
    <row r="23" spans="1:52" s="124" customFormat="1" ht="21" x14ac:dyDescent="0.35">
      <c r="A23" s="94">
        <v>5</v>
      </c>
      <c r="B23" s="139" t="s">
        <v>40</v>
      </c>
      <c r="C23" s="95" t="str">
        <f>VLOOKUP(B23,'RT Calculator'!$H$2:$I$13,2,0)</f>
        <v>3 to 4</v>
      </c>
      <c r="D23" s="127"/>
      <c r="E23" s="96"/>
      <c r="F23" s="96"/>
      <c r="G23" s="96"/>
      <c r="H23" s="96"/>
      <c r="I23" s="97" t="str">
        <f t="shared" si="29"/>
        <v>Even</v>
      </c>
      <c r="J23" s="98">
        <f t="shared" si="30"/>
        <v>0</v>
      </c>
      <c r="K23" s="98">
        <f t="shared" si="31"/>
        <v>0</v>
      </c>
      <c r="L23" s="98">
        <f t="shared" si="32"/>
        <v>0</v>
      </c>
      <c r="M23" s="98">
        <f t="shared" si="33"/>
        <v>0</v>
      </c>
      <c r="N23" s="98">
        <f>((VLOOKUP(($B23),'RT Calculator'!A6:D20,4,FALSE)*L23*(F23*3.28084))+J23)*D23</f>
        <v>0</v>
      </c>
      <c r="O23" s="98">
        <f>((VLOOKUP($B23,'RT Calculator'!A6:D20,4,FALSE)*M23*(F23*3.28084))+K23)*D23</f>
        <v>0</v>
      </c>
      <c r="P23" s="99">
        <f t="shared" si="34"/>
        <v>0</v>
      </c>
      <c r="Q23" s="99">
        <f t="shared" si="34"/>
        <v>0</v>
      </c>
      <c r="R23" s="100">
        <f t="shared" si="36"/>
        <v>0</v>
      </c>
      <c r="S23" s="100">
        <f t="shared" si="37"/>
        <v>0</v>
      </c>
      <c r="T23" s="140">
        <f t="shared" si="35"/>
        <v>0</v>
      </c>
      <c r="U23" s="122" t="str">
        <f t="shared" si="28"/>
        <v>150 mm</v>
      </c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123"/>
    </row>
    <row r="24" spans="1:52" s="124" customFormat="1" ht="21" x14ac:dyDescent="0.35">
      <c r="A24" s="94">
        <v>6</v>
      </c>
      <c r="B24" s="139" t="s">
        <v>41</v>
      </c>
      <c r="C24" s="95" t="str">
        <f>VLOOKUP(B24,'RT Calculator'!$H$2:$I$13,2,0)</f>
        <v>3 to 4</v>
      </c>
      <c r="D24" s="127"/>
      <c r="E24" s="96"/>
      <c r="F24" s="96"/>
      <c r="G24" s="96"/>
      <c r="H24" s="96"/>
      <c r="I24" s="97" t="str">
        <f t="shared" si="29"/>
        <v>Even</v>
      </c>
      <c r="J24" s="98">
        <f t="shared" si="30"/>
        <v>0</v>
      </c>
      <c r="K24" s="98">
        <f t="shared" si="31"/>
        <v>0</v>
      </c>
      <c r="L24" s="98">
        <f t="shared" si="32"/>
        <v>0</v>
      </c>
      <c r="M24" s="98">
        <f t="shared" si="33"/>
        <v>0</v>
      </c>
      <c r="N24" s="98">
        <f>((VLOOKUP(($B24),'RT Calculator'!A7:D21,4,FALSE)*L24*(F24*3.28084))+J24)*D24</f>
        <v>0</v>
      </c>
      <c r="O24" s="98">
        <f>((VLOOKUP($B24,'RT Calculator'!A7:D21,4,FALSE)*M24*(F24*3.28084))+K24)*D24</f>
        <v>0</v>
      </c>
      <c r="P24" s="99">
        <f t="shared" si="34"/>
        <v>0</v>
      </c>
      <c r="Q24" s="99">
        <f t="shared" si="34"/>
        <v>0</v>
      </c>
      <c r="R24" s="100">
        <f t="shared" si="36"/>
        <v>0</v>
      </c>
      <c r="S24" s="100">
        <f t="shared" si="37"/>
        <v>0</v>
      </c>
      <c r="T24" s="140">
        <f t="shared" si="35"/>
        <v>0</v>
      </c>
      <c r="U24" s="122" t="str">
        <f t="shared" si="28"/>
        <v>200 mm</v>
      </c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</row>
    <row r="25" spans="1:52" s="124" customFormat="1" ht="21" x14ac:dyDescent="0.35">
      <c r="A25" s="94">
        <v>7</v>
      </c>
      <c r="B25" s="139" t="s">
        <v>42</v>
      </c>
      <c r="C25" s="95" t="str">
        <f>VLOOKUP(B25,'RT Calculator'!$H$2:$I$13,2,0)</f>
        <v>3 to 4</v>
      </c>
      <c r="D25" s="127"/>
      <c r="E25" s="96"/>
      <c r="F25" s="96"/>
      <c r="G25" s="96"/>
      <c r="H25" s="96"/>
      <c r="I25" s="97" t="str">
        <f t="shared" ref="I25" si="38">IF(MOD(E25,2)=0,"Even","odd")</f>
        <v>Even</v>
      </c>
      <c r="J25" s="98">
        <f t="shared" ref="J25" si="39">L25*(G25*3.28084)*25</f>
        <v>0</v>
      </c>
      <c r="K25" s="98">
        <f t="shared" ref="K25" si="40">M25*(G25*3.28084)*25</f>
        <v>0</v>
      </c>
      <c r="L25" s="98">
        <f t="shared" ref="L25" si="41">IF(I25="EVEN",E25/2,IF(H25="Grey",(E25-1)/2+1,(E25-1)/2))</f>
        <v>0</v>
      </c>
      <c r="M25" s="98">
        <f t="shared" ref="M25" si="42">IF(I25="EVEN",E25/2,IF(H25="White",((E25-1)/2+1),(E25-1)/2))</f>
        <v>0</v>
      </c>
      <c r="N25" s="98">
        <f>((VLOOKUP(($B25),'RT Calculator'!A8:D22,4,FALSE)*L25*(F25*3.28084))+J25)*D25</f>
        <v>0</v>
      </c>
      <c r="O25" s="98">
        <f>((VLOOKUP($B25,'RT Calculator'!A8:D22,4,FALSE)*M25*(F25*3.28084))+K25)*D25</f>
        <v>0</v>
      </c>
      <c r="P25" s="99">
        <f t="shared" ref="P25" si="43">ROUNDUP(N25/900,0)</f>
        <v>0</v>
      </c>
      <c r="Q25" s="99">
        <f t="shared" ref="Q25" si="44">ROUNDUP(O25/900,0)</f>
        <v>0</v>
      </c>
      <c r="R25" s="100">
        <f t="shared" si="36"/>
        <v>0</v>
      </c>
      <c r="S25" s="100">
        <f t="shared" si="37"/>
        <v>0</v>
      </c>
      <c r="T25" s="140">
        <f t="shared" si="35"/>
        <v>0</v>
      </c>
      <c r="U25" s="122" t="str">
        <f t="shared" si="28"/>
        <v>300 mm</v>
      </c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3"/>
    </row>
    <row r="26" spans="1:52" s="123" customFormat="1" ht="21" x14ac:dyDescent="0.35">
      <c r="A26" s="94">
        <v>8</v>
      </c>
      <c r="B26" s="139" t="s">
        <v>43</v>
      </c>
      <c r="C26" s="95" t="str">
        <f>VLOOKUP(B26,'RT Calculator'!$H$2:$I$13,2,0)</f>
        <v>4 to 5</v>
      </c>
      <c r="D26" s="127"/>
      <c r="E26" s="96"/>
      <c r="F26" s="96"/>
      <c r="G26" s="96"/>
      <c r="H26" s="96"/>
      <c r="I26" s="97" t="str">
        <f t="shared" si="29"/>
        <v>Even</v>
      </c>
      <c r="J26" s="98">
        <f t="shared" si="30"/>
        <v>0</v>
      </c>
      <c r="K26" s="98">
        <f t="shared" si="31"/>
        <v>0</v>
      </c>
      <c r="L26" s="98">
        <f t="shared" si="32"/>
        <v>0</v>
      </c>
      <c r="M26" s="98">
        <f t="shared" si="33"/>
        <v>0</v>
      </c>
      <c r="N26" s="98">
        <f>((VLOOKUP(($B26),'RT Calculator'!A9:D23,4,FALSE)*L26*(F26*3.28084))+J26)*D26</f>
        <v>0</v>
      </c>
      <c r="O26" s="98">
        <f>((VLOOKUP($B26,'RT Calculator'!A9:D23,4,FALSE)*M26*(F26*3.28084))+K26)*D26</f>
        <v>0</v>
      </c>
      <c r="P26" s="99">
        <f t="shared" ref="P26:P27" si="45">ROUNDUP(N26/900,0)</f>
        <v>0</v>
      </c>
      <c r="Q26" s="99">
        <f t="shared" ref="Q26:Q27" si="46">ROUNDUP(O26/900,0)</f>
        <v>0</v>
      </c>
      <c r="R26" s="100">
        <f t="shared" si="36"/>
        <v>0</v>
      </c>
      <c r="S26" s="100">
        <f t="shared" si="37"/>
        <v>0</v>
      </c>
      <c r="T26" s="140">
        <f t="shared" si="35"/>
        <v>0</v>
      </c>
    </row>
    <row r="27" spans="1:52" s="123" customFormat="1" ht="21" x14ac:dyDescent="0.35">
      <c r="A27" s="94">
        <v>9</v>
      </c>
      <c r="B27" s="97" t="s">
        <v>44</v>
      </c>
      <c r="C27" s="95" t="str">
        <f>VLOOKUP(B27,'RT Calculator'!$H$2:$I$13,2,0)</f>
        <v>5 to 6</v>
      </c>
      <c r="D27" s="127"/>
      <c r="E27" s="96"/>
      <c r="F27" s="96"/>
      <c r="G27" s="96"/>
      <c r="H27" s="96"/>
      <c r="I27" s="97" t="str">
        <f t="shared" si="29"/>
        <v>Even</v>
      </c>
      <c r="J27" s="98">
        <f t="shared" si="30"/>
        <v>0</v>
      </c>
      <c r="K27" s="98">
        <f t="shared" si="31"/>
        <v>0</v>
      </c>
      <c r="L27" s="98">
        <f t="shared" si="32"/>
        <v>0</v>
      </c>
      <c r="M27" s="98">
        <f t="shared" si="33"/>
        <v>0</v>
      </c>
      <c r="N27" s="98">
        <f>((VLOOKUP(($B27),'RT Calculator'!A10:D24,4,FALSE)*L27*(F27*3.28084))+J27)*D27</f>
        <v>0</v>
      </c>
      <c r="O27" s="98">
        <f>((VLOOKUP($B27,'RT Calculator'!A10:D24,4,FALSE)*M27*(F27*3.28084))+K27)*D27</f>
        <v>0</v>
      </c>
      <c r="P27" s="99">
        <f t="shared" si="45"/>
        <v>0</v>
      </c>
      <c r="Q27" s="99">
        <f t="shared" si="46"/>
        <v>0</v>
      </c>
      <c r="R27" s="100">
        <f t="shared" si="36"/>
        <v>0</v>
      </c>
      <c r="S27" s="100">
        <f t="shared" si="37"/>
        <v>0</v>
      </c>
      <c r="T27" s="140">
        <f t="shared" si="35"/>
        <v>0</v>
      </c>
    </row>
    <row r="28" spans="1:52" s="123" customFormat="1" ht="21.75" thickBot="1" x14ac:dyDescent="0.4">
      <c r="A28" s="101">
        <v>10</v>
      </c>
      <c r="B28" s="141" t="s">
        <v>45</v>
      </c>
      <c r="C28" s="102" t="str">
        <f>VLOOKUP(B28,'RT Calculator'!$H$2:$I$13,2,0)</f>
        <v>8 to 9</v>
      </c>
      <c r="D28" s="142"/>
      <c r="E28" s="103"/>
      <c r="F28" s="103"/>
      <c r="G28" s="103"/>
      <c r="H28" s="103"/>
      <c r="I28" s="104" t="str">
        <f t="shared" ref="I28" si="47">IF(MOD(E28,2)=0,"Even","odd")</f>
        <v>Even</v>
      </c>
      <c r="J28" s="105">
        <f t="shared" ref="J28" si="48">L28*(G28*3.28084)*25</f>
        <v>0</v>
      </c>
      <c r="K28" s="105">
        <f t="shared" ref="K28" si="49">M28*(G28*3.28084)*25</f>
        <v>0</v>
      </c>
      <c r="L28" s="105">
        <f t="shared" ref="L28" si="50">IF(I28="EVEN",E28/2,IF(H28="Grey",(E28-1)/2+1,(E28-1)/2))</f>
        <v>0</v>
      </c>
      <c r="M28" s="105">
        <f t="shared" ref="M28" si="51">IF(I28="EVEN",E28/2,IF(H28="White",((E28-1)/2+1),(E28-1)/2))</f>
        <v>0</v>
      </c>
      <c r="N28" s="105">
        <f>((VLOOKUP(($B28),'RT Calculator'!A11:D25,4,FALSE)*L28*(F28*3.28084))+J28)*D28</f>
        <v>0</v>
      </c>
      <c r="O28" s="105">
        <f>((VLOOKUP($B28,'RT Calculator'!A11:D25,4,FALSE)*M28*(F28*3.28084))+K28)*D28</f>
        <v>0</v>
      </c>
      <c r="P28" s="106">
        <f t="shared" ref="P28" si="52">ROUNDUP(N28/900,0)</f>
        <v>0</v>
      </c>
      <c r="Q28" s="106">
        <f t="shared" ref="Q28" si="53">ROUNDUP(O28/900,0)</f>
        <v>0</v>
      </c>
      <c r="R28" s="107">
        <f t="shared" si="36"/>
        <v>0</v>
      </c>
      <c r="S28" s="107">
        <f t="shared" si="37"/>
        <v>0</v>
      </c>
      <c r="T28" s="143">
        <f t="shared" si="35"/>
        <v>0</v>
      </c>
    </row>
    <row r="29" spans="1:52" s="26" customFormat="1" ht="16.5" thickBot="1" x14ac:dyDescent="0.3">
      <c r="A29" s="183" t="s">
        <v>32</v>
      </c>
      <c r="B29" s="184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5"/>
    </row>
    <row r="30" spans="1:52" s="26" customFormat="1" x14ac:dyDescent="0.25"/>
    <row r="31" spans="1:52" s="26" customFormat="1" x14ac:dyDescent="0.25"/>
    <row r="32" spans="1:52" s="26" customFormat="1" ht="15.75" customHeight="1" x14ac:dyDescent="0.25"/>
    <row r="33" spans="1:21" s="26" customFormat="1" x14ac:dyDescent="0.25"/>
    <row r="34" spans="1:21" s="26" customFormat="1" ht="15.75" customHeight="1" x14ac:dyDescent="0.25"/>
    <row r="35" spans="1:21" s="26" customFormat="1" x14ac:dyDescent="0.25"/>
    <row r="36" spans="1:21" s="26" customFormat="1" x14ac:dyDescent="0.25"/>
    <row r="37" spans="1:21" s="26" customFormat="1" x14ac:dyDescent="0.25"/>
    <row r="38" spans="1:21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</row>
    <row r="39" spans="1:21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</row>
    <row r="40" spans="1:21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</row>
    <row r="41" spans="1:21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</row>
    <row r="42" spans="1:21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</row>
    <row r="43" spans="1:21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</row>
    <row r="44" spans="1:21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</row>
    <row r="45" spans="1:21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</row>
    <row r="46" spans="1:21" x14ac:dyDescent="0.2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</row>
    <row r="47" spans="1:21" x14ac:dyDescent="0.25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</row>
    <row r="48" spans="1:21" x14ac:dyDescent="0.2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</row>
    <row r="49" spans="1:21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</row>
    <row r="50" spans="1:21" x14ac:dyDescent="0.2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</row>
    <row r="51" spans="1:21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</row>
    <row r="52" spans="1:21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</row>
    <row r="53" spans="1:21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</row>
    <row r="54" spans="1:21" x14ac:dyDescent="0.2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</row>
    <row r="55" spans="1:21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</row>
    <row r="56" spans="1:21" x14ac:dyDescent="0.2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</row>
    <row r="57" spans="1:21" x14ac:dyDescent="0.2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</row>
    <row r="58" spans="1:21" x14ac:dyDescent="0.2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</row>
    <row r="59" spans="1:21" x14ac:dyDescent="0.2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</row>
    <row r="60" spans="1:21" x14ac:dyDescent="0.2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</row>
    <row r="61" spans="1:21" x14ac:dyDescent="0.2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</row>
    <row r="62" spans="1:21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</row>
    <row r="63" spans="1:21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</row>
    <row r="64" spans="1:21" x14ac:dyDescent="0.2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</row>
    <row r="65" spans="1:21" x14ac:dyDescent="0.2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</row>
    <row r="66" spans="1:21" x14ac:dyDescent="0.2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</row>
    <row r="67" spans="1:21" x14ac:dyDescent="0.2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</row>
    <row r="68" spans="1:21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</row>
    <row r="69" spans="1:21" x14ac:dyDescent="0.2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</row>
    <row r="70" spans="1:21" x14ac:dyDescent="0.2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</row>
    <row r="71" spans="1:21" x14ac:dyDescent="0.2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</row>
    <row r="72" spans="1:21" x14ac:dyDescent="0.2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</row>
    <row r="73" spans="1:21" x14ac:dyDescent="0.2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</row>
    <row r="74" spans="1:21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</row>
    <row r="75" spans="1:21" x14ac:dyDescent="0.2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</row>
    <row r="76" spans="1:21" x14ac:dyDescent="0.2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</row>
    <row r="77" spans="1:21" x14ac:dyDescent="0.2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</row>
    <row r="78" spans="1:21" x14ac:dyDescent="0.2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</row>
    <row r="79" spans="1:21" x14ac:dyDescent="0.2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</row>
    <row r="80" spans="1:21" x14ac:dyDescent="0.2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</row>
    <row r="81" spans="1:21" x14ac:dyDescent="0.2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</row>
    <row r="82" spans="1:21" x14ac:dyDescent="0.2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</row>
    <row r="83" spans="1:21" x14ac:dyDescent="0.2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</row>
    <row r="84" spans="1:21" x14ac:dyDescent="0.2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</row>
    <row r="85" spans="1:21" x14ac:dyDescent="0.2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</row>
    <row r="86" spans="1:21" x14ac:dyDescent="0.25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</row>
    <row r="87" spans="1:21" x14ac:dyDescent="0.2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</row>
    <row r="88" spans="1:21" x14ac:dyDescent="0.2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</row>
    <row r="89" spans="1:21" x14ac:dyDescent="0.2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</row>
    <row r="90" spans="1:21" x14ac:dyDescent="0.2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</row>
    <row r="91" spans="1:21" x14ac:dyDescent="0.2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</row>
    <row r="92" spans="1:21" x14ac:dyDescent="0.2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</row>
    <row r="93" spans="1:21" x14ac:dyDescent="0.25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</row>
    <row r="94" spans="1:21" x14ac:dyDescent="0.2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</row>
    <row r="95" spans="1:21" x14ac:dyDescent="0.25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</row>
    <row r="96" spans="1:21" x14ac:dyDescent="0.25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</row>
    <row r="97" spans="1:21" x14ac:dyDescent="0.25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</row>
    <row r="98" spans="1:21" x14ac:dyDescent="0.2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</row>
    <row r="99" spans="1:21" x14ac:dyDescent="0.25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</row>
    <row r="100" spans="1:21" x14ac:dyDescent="0.25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</row>
    <row r="101" spans="1:21" x14ac:dyDescent="0.25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</row>
    <row r="102" spans="1:21" x14ac:dyDescent="0.25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</row>
    <row r="103" spans="1:21" x14ac:dyDescent="0.25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</row>
    <row r="104" spans="1:21" x14ac:dyDescent="0.25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</row>
    <row r="105" spans="1:21" x14ac:dyDescent="0.25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</row>
    <row r="106" spans="1:21" x14ac:dyDescent="0.25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</row>
    <row r="107" spans="1:21" x14ac:dyDescent="0.25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</row>
    <row r="108" spans="1:21" x14ac:dyDescent="0.25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</row>
    <row r="109" spans="1:21" x14ac:dyDescent="0.25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</row>
    <row r="110" spans="1:21" x14ac:dyDescent="0.25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</row>
    <row r="111" spans="1:21" x14ac:dyDescent="0.25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</row>
    <row r="112" spans="1:21" x14ac:dyDescent="0.25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</row>
    <row r="113" spans="1:21" x14ac:dyDescent="0.25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</row>
    <row r="114" spans="1:21" x14ac:dyDescent="0.25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</row>
    <row r="115" spans="1:21" x14ac:dyDescent="0.25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</row>
    <row r="116" spans="1:21" x14ac:dyDescent="0.25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</row>
    <row r="117" spans="1:21" x14ac:dyDescent="0.25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</row>
    <row r="118" spans="1:21" x14ac:dyDescent="0.25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</row>
    <row r="119" spans="1:21" x14ac:dyDescent="0.25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</row>
    <row r="120" spans="1:21" x14ac:dyDescent="0.25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</row>
    <row r="121" spans="1:21" x14ac:dyDescent="0.25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</row>
    <row r="122" spans="1:21" x14ac:dyDescent="0.25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</row>
    <row r="123" spans="1:21" x14ac:dyDescent="0.25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</row>
    <row r="124" spans="1:21" x14ac:dyDescent="0.25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</row>
    <row r="125" spans="1:21" x14ac:dyDescent="0.25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</row>
    <row r="126" spans="1:21" x14ac:dyDescent="0.25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</row>
    <row r="127" spans="1:21" x14ac:dyDescent="0.25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</row>
    <row r="128" spans="1:21" x14ac:dyDescent="0.25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</row>
    <row r="129" spans="1:21" x14ac:dyDescent="0.25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</row>
    <row r="130" spans="1:21" x14ac:dyDescent="0.25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</row>
    <row r="131" spans="1:21" x14ac:dyDescent="0.25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</row>
    <row r="132" spans="1:21" x14ac:dyDescent="0.25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</row>
    <row r="133" spans="1:21" x14ac:dyDescent="0.25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</row>
    <row r="134" spans="1:21" x14ac:dyDescent="0.25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</row>
    <row r="135" spans="1:21" x14ac:dyDescent="0.25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</row>
    <row r="136" spans="1:21" x14ac:dyDescent="0.25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</row>
    <row r="137" spans="1:21" x14ac:dyDescent="0.25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</row>
    <row r="138" spans="1:21" x14ac:dyDescent="0.25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</row>
    <row r="139" spans="1:21" x14ac:dyDescent="0.25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</row>
    <row r="140" spans="1:21" x14ac:dyDescent="0.25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</row>
    <row r="141" spans="1:21" x14ac:dyDescent="0.25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</row>
    <row r="142" spans="1:21" x14ac:dyDescent="0.25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</row>
    <row r="143" spans="1:21" x14ac:dyDescent="0.25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</row>
    <row r="144" spans="1:21" x14ac:dyDescent="0.25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</row>
    <row r="145" spans="1:21" x14ac:dyDescent="0.25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</row>
    <row r="146" spans="1:21" x14ac:dyDescent="0.25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</row>
    <row r="147" spans="1:21" x14ac:dyDescent="0.25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</row>
    <row r="148" spans="1:21" x14ac:dyDescent="0.25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</row>
    <row r="149" spans="1:21" x14ac:dyDescent="0.25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</row>
    <row r="150" spans="1:21" x14ac:dyDescent="0.25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</row>
    <row r="151" spans="1:21" x14ac:dyDescent="0.25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</row>
    <row r="152" spans="1:21" x14ac:dyDescent="0.25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</row>
    <row r="153" spans="1:21" x14ac:dyDescent="0.25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</row>
    <row r="154" spans="1:21" x14ac:dyDescent="0.25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</row>
    <row r="155" spans="1:21" x14ac:dyDescent="0.25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</row>
    <row r="156" spans="1:21" x14ac:dyDescent="0.25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</row>
    <row r="157" spans="1:21" x14ac:dyDescent="0.25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</row>
    <row r="158" spans="1:21" x14ac:dyDescent="0.25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</row>
    <row r="159" spans="1:21" x14ac:dyDescent="0.25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</row>
    <row r="160" spans="1:21" x14ac:dyDescent="0.25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</row>
    <row r="161" spans="1:21" x14ac:dyDescent="0.25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</row>
    <row r="162" spans="1:21" x14ac:dyDescent="0.25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</row>
    <row r="163" spans="1:21" x14ac:dyDescent="0.25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</row>
    <row r="164" spans="1:21" x14ac:dyDescent="0.25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</row>
    <row r="165" spans="1:21" x14ac:dyDescent="0.25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</row>
    <row r="166" spans="1:21" x14ac:dyDescent="0.25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</row>
    <row r="167" spans="1:21" x14ac:dyDescent="0.25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</row>
    <row r="168" spans="1:21" x14ac:dyDescent="0.25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</row>
    <row r="169" spans="1:21" x14ac:dyDescent="0.25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</row>
    <row r="170" spans="1:21" x14ac:dyDescent="0.25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</row>
    <row r="171" spans="1:21" x14ac:dyDescent="0.25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</row>
    <row r="172" spans="1:21" x14ac:dyDescent="0.25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</row>
    <row r="173" spans="1:21" x14ac:dyDescent="0.25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</row>
    <row r="174" spans="1:21" x14ac:dyDescent="0.25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</row>
    <row r="175" spans="1:21" x14ac:dyDescent="0.25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</row>
    <row r="176" spans="1:21" x14ac:dyDescent="0.25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</row>
    <row r="177" spans="1:21" x14ac:dyDescent="0.25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</row>
    <row r="178" spans="1:21" x14ac:dyDescent="0.25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</row>
    <row r="179" spans="1:21" x14ac:dyDescent="0.25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</row>
    <row r="180" spans="1:21" x14ac:dyDescent="0.25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</row>
    <row r="181" spans="1:21" x14ac:dyDescent="0.25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</row>
    <row r="182" spans="1:21" x14ac:dyDescent="0.25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</row>
    <row r="183" spans="1:21" x14ac:dyDescent="0.25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</row>
    <row r="184" spans="1:21" x14ac:dyDescent="0.25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</row>
    <row r="185" spans="1:21" x14ac:dyDescent="0.25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</row>
    <row r="186" spans="1:21" x14ac:dyDescent="0.25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</row>
    <row r="187" spans="1:21" x14ac:dyDescent="0.25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</row>
    <row r="188" spans="1:21" x14ac:dyDescent="0.25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</row>
    <row r="189" spans="1:21" x14ac:dyDescent="0.25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</row>
    <row r="190" spans="1:21" x14ac:dyDescent="0.25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</row>
    <row r="191" spans="1:21" x14ac:dyDescent="0.25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</row>
    <row r="192" spans="1:21" x14ac:dyDescent="0.25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</row>
    <row r="193" spans="1:21" x14ac:dyDescent="0.25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</row>
    <row r="194" spans="1:21" x14ac:dyDescent="0.25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</row>
    <row r="195" spans="1:21" x14ac:dyDescent="0.25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</row>
    <row r="196" spans="1:21" x14ac:dyDescent="0.25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</row>
    <row r="197" spans="1:21" x14ac:dyDescent="0.25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</row>
    <row r="198" spans="1:21" x14ac:dyDescent="0.25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</row>
    <row r="199" spans="1:21" x14ac:dyDescent="0.25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</row>
    <row r="200" spans="1:21" x14ac:dyDescent="0.25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</row>
    <row r="201" spans="1:21" x14ac:dyDescent="0.25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</row>
    <row r="202" spans="1:21" x14ac:dyDescent="0.25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</row>
    <row r="203" spans="1:21" x14ac:dyDescent="0.25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</row>
    <row r="204" spans="1:21" x14ac:dyDescent="0.25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</row>
    <row r="205" spans="1:21" x14ac:dyDescent="0.25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</row>
    <row r="206" spans="1:21" x14ac:dyDescent="0.25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</row>
    <row r="207" spans="1:21" x14ac:dyDescent="0.25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</row>
    <row r="208" spans="1:21" x14ac:dyDescent="0.25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</row>
    <row r="209" spans="1:21" x14ac:dyDescent="0.25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</row>
    <row r="210" spans="1:21" x14ac:dyDescent="0.25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</row>
    <row r="211" spans="1:21" x14ac:dyDescent="0.25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</row>
    <row r="212" spans="1:21" x14ac:dyDescent="0.25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</row>
    <row r="213" spans="1:21" x14ac:dyDescent="0.25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</row>
    <row r="214" spans="1:21" x14ac:dyDescent="0.25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</row>
    <row r="215" spans="1:21" x14ac:dyDescent="0.25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</row>
    <row r="216" spans="1:21" x14ac:dyDescent="0.25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</row>
    <row r="217" spans="1:21" x14ac:dyDescent="0.25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</row>
    <row r="218" spans="1:21" x14ac:dyDescent="0.25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</row>
    <row r="219" spans="1:21" x14ac:dyDescent="0.25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</row>
    <row r="220" spans="1:21" x14ac:dyDescent="0.25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</row>
    <row r="221" spans="1:21" x14ac:dyDescent="0.25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</row>
    <row r="222" spans="1:21" x14ac:dyDescent="0.25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</row>
    <row r="223" spans="1:21" x14ac:dyDescent="0.25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</row>
    <row r="224" spans="1:21" x14ac:dyDescent="0.25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</row>
    <row r="225" spans="1:21" x14ac:dyDescent="0.25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</row>
    <row r="226" spans="1:21" x14ac:dyDescent="0.25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</row>
    <row r="227" spans="1:21" x14ac:dyDescent="0.25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</row>
    <row r="228" spans="1:21" x14ac:dyDescent="0.25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</row>
    <row r="229" spans="1:21" x14ac:dyDescent="0.25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</row>
    <row r="230" spans="1:21" x14ac:dyDescent="0.25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</row>
    <row r="231" spans="1:21" x14ac:dyDescent="0.25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</row>
    <row r="232" spans="1:21" x14ac:dyDescent="0.25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</row>
    <row r="233" spans="1:21" x14ac:dyDescent="0.25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</row>
    <row r="234" spans="1:21" x14ac:dyDescent="0.25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</row>
    <row r="235" spans="1:21" x14ac:dyDescent="0.25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</row>
    <row r="236" spans="1:21" x14ac:dyDescent="0.25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</row>
    <row r="237" spans="1:21" x14ac:dyDescent="0.25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</row>
    <row r="238" spans="1:21" x14ac:dyDescent="0.25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</row>
    <row r="239" spans="1:21" x14ac:dyDescent="0.25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</row>
    <row r="240" spans="1:21" x14ac:dyDescent="0.25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</row>
    <row r="241" spans="1:21" x14ac:dyDescent="0.25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</row>
    <row r="242" spans="1:21" x14ac:dyDescent="0.25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</row>
    <row r="243" spans="1:21" x14ac:dyDescent="0.25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</row>
    <row r="244" spans="1:21" x14ac:dyDescent="0.25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</row>
    <row r="245" spans="1:21" x14ac:dyDescent="0.25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</row>
    <row r="246" spans="1:21" x14ac:dyDescent="0.25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</row>
    <row r="247" spans="1:21" x14ac:dyDescent="0.25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</row>
    <row r="248" spans="1:21" x14ac:dyDescent="0.25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</row>
    <row r="249" spans="1:21" x14ac:dyDescent="0.25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</row>
    <row r="250" spans="1:21" x14ac:dyDescent="0.25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</row>
    <row r="251" spans="1:21" x14ac:dyDescent="0.25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</row>
    <row r="252" spans="1:21" x14ac:dyDescent="0.25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</row>
    <row r="253" spans="1:21" x14ac:dyDescent="0.25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</row>
    <row r="254" spans="1:21" x14ac:dyDescent="0.25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</row>
    <row r="255" spans="1:21" x14ac:dyDescent="0.25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</row>
    <row r="256" spans="1:21" x14ac:dyDescent="0.25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</row>
    <row r="257" spans="1:21" x14ac:dyDescent="0.25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</row>
    <row r="258" spans="1:21" x14ac:dyDescent="0.25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</row>
    <row r="259" spans="1:21" x14ac:dyDescent="0.25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</row>
    <row r="260" spans="1:21" x14ac:dyDescent="0.25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</row>
    <row r="261" spans="1:21" x14ac:dyDescent="0.25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</row>
    <row r="262" spans="1:21" x14ac:dyDescent="0.25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</row>
    <row r="263" spans="1:21" x14ac:dyDescent="0.25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</row>
    <row r="264" spans="1:21" x14ac:dyDescent="0.25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</row>
    <row r="265" spans="1:21" x14ac:dyDescent="0.25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</row>
    <row r="266" spans="1:21" x14ac:dyDescent="0.25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</row>
    <row r="267" spans="1:21" x14ac:dyDescent="0.25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</row>
    <row r="268" spans="1:21" x14ac:dyDescent="0.25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</row>
    <row r="269" spans="1:21" x14ac:dyDescent="0.25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</row>
    <row r="270" spans="1:21" x14ac:dyDescent="0.25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</row>
    <row r="271" spans="1:21" x14ac:dyDescent="0.25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</row>
    <row r="272" spans="1:21" x14ac:dyDescent="0.25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</row>
    <row r="273" spans="1:21" x14ac:dyDescent="0.25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</row>
    <row r="274" spans="1:21" x14ac:dyDescent="0.25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</row>
    <row r="275" spans="1:21" x14ac:dyDescent="0.25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</row>
    <row r="276" spans="1:21" x14ac:dyDescent="0.25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</row>
    <row r="277" spans="1:21" x14ac:dyDescent="0.25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</row>
    <row r="278" spans="1:21" x14ac:dyDescent="0.25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</row>
    <row r="279" spans="1:21" x14ac:dyDescent="0.25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</row>
    <row r="280" spans="1:21" x14ac:dyDescent="0.25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</row>
    <row r="281" spans="1:21" x14ac:dyDescent="0.25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</row>
    <row r="282" spans="1:21" x14ac:dyDescent="0.25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</row>
    <row r="283" spans="1:21" x14ac:dyDescent="0.25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</row>
    <row r="284" spans="1:21" x14ac:dyDescent="0.25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</row>
    <row r="285" spans="1:21" x14ac:dyDescent="0.25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</row>
    <row r="286" spans="1:21" x14ac:dyDescent="0.25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</row>
    <row r="287" spans="1:21" x14ac:dyDescent="0.25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</row>
    <row r="288" spans="1:21" x14ac:dyDescent="0.25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</row>
    <row r="289" spans="1:21" x14ac:dyDescent="0.25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</row>
    <row r="290" spans="1:21" x14ac:dyDescent="0.25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</row>
    <row r="291" spans="1:21" x14ac:dyDescent="0.25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</row>
    <row r="292" spans="1:21" x14ac:dyDescent="0.25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</row>
    <row r="293" spans="1:21" x14ac:dyDescent="0.25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</row>
    <row r="294" spans="1:21" x14ac:dyDescent="0.25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</row>
    <row r="295" spans="1:21" x14ac:dyDescent="0.25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</row>
    <row r="296" spans="1:21" x14ac:dyDescent="0.25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</row>
    <row r="297" spans="1:21" x14ac:dyDescent="0.25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</row>
    <row r="298" spans="1:21" x14ac:dyDescent="0.25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</row>
    <row r="299" spans="1:21" x14ac:dyDescent="0.25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</row>
    <row r="300" spans="1:21" x14ac:dyDescent="0.25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</row>
    <row r="301" spans="1:21" x14ac:dyDescent="0.25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</row>
    <row r="302" spans="1:21" x14ac:dyDescent="0.25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</row>
    <row r="303" spans="1:21" x14ac:dyDescent="0.25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</row>
    <row r="304" spans="1:21" x14ac:dyDescent="0.25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</row>
    <row r="305" spans="1:21" x14ac:dyDescent="0.25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</row>
    <row r="306" spans="1:21" x14ac:dyDescent="0.25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</row>
    <row r="307" spans="1:21" x14ac:dyDescent="0.25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</row>
    <row r="308" spans="1:21" x14ac:dyDescent="0.25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</row>
    <row r="309" spans="1:21" x14ac:dyDescent="0.25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</row>
    <row r="310" spans="1:21" x14ac:dyDescent="0.25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</row>
    <row r="311" spans="1:21" x14ac:dyDescent="0.25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</row>
    <row r="312" spans="1:21" x14ac:dyDescent="0.25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</row>
    <row r="313" spans="1:21" x14ac:dyDescent="0.25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</row>
    <row r="314" spans="1:21" x14ac:dyDescent="0.25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</row>
    <row r="315" spans="1:21" x14ac:dyDescent="0.25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</row>
    <row r="316" spans="1:21" x14ac:dyDescent="0.25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</row>
    <row r="317" spans="1:21" x14ac:dyDescent="0.25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</row>
    <row r="318" spans="1:21" x14ac:dyDescent="0.25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</row>
    <row r="319" spans="1:21" x14ac:dyDescent="0.25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</row>
    <row r="320" spans="1:21" x14ac:dyDescent="0.25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</row>
    <row r="321" spans="1:21" x14ac:dyDescent="0.25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</row>
    <row r="322" spans="1:21" x14ac:dyDescent="0.25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</row>
    <row r="323" spans="1:21" x14ac:dyDescent="0.25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</row>
    <row r="324" spans="1:21" x14ac:dyDescent="0.25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</row>
    <row r="325" spans="1:21" x14ac:dyDescent="0.25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</row>
    <row r="326" spans="1:21" x14ac:dyDescent="0.25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</row>
    <row r="327" spans="1:21" x14ac:dyDescent="0.25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</row>
    <row r="328" spans="1:21" x14ac:dyDescent="0.25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</row>
    <row r="329" spans="1:21" x14ac:dyDescent="0.25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</row>
    <row r="330" spans="1:21" x14ac:dyDescent="0.25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</row>
    <row r="331" spans="1:21" x14ac:dyDescent="0.25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</row>
    <row r="332" spans="1:21" x14ac:dyDescent="0.25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</row>
    <row r="333" spans="1:21" x14ac:dyDescent="0.25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</row>
    <row r="334" spans="1:21" x14ac:dyDescent="0.25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</row>
    <row r="335" spans="1:21" x14ac:dyDescent="0.25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</row>
    <row r="336" spans="1:21" x14ac:dyDescent="0.25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</row>
    <row r="337" spans="1:21" x14ac:dyDescent="0.25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</row>
    <row r="338" spans="1:21" x14ac:dyDescent="0.25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</row>
    <row r="339" spans="1:21" x14ac:dyDescent="0.25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</row>
    <row r="340" spans="1:21" x14ac:dyDescent="0.25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</row>
    <row r="341" spans="1:21" x14ac:dyDescent="0.25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</row>
    <row r="342" spans="1:21" x14ac:dyDescent="0.25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</row>
    <row r="343" spans="1:21" x14ac:dyDescent="0.25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</row>
    <row r="344" spans="1:21" x14ac:dyDescent="0.25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</row>
    <row r="345" spans="1:21" x14ac:dyDescent="0.25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</row>
    <row r="346" spans="1:21" x14ac:dyDescent="0.25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</row>
    <row r="347" spans="1:21" x14ac:dyDescent="0.25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</row>
    <row r="348" spans="1:21" x14ac:dyDescent="0.25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</row>
    <row r="349" spans="1:21" x14ac:dyDescent="0.25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</row>
    <row r="350" spans="1:21" x14ac:dyDescent="0.25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</row>
    <row r="351" spans="1:21" x14ac:dyDescent="0.25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</row>
    <row r="352" spans="1:21" x14ac:dyDescent="0.25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</row>
    <row r="353" spans="1:21" x14ac:dyDescent="0.25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</row>
    <row r="354" spans="1:21" x14ac:dyDescent="0.25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</row>
    <row r="355" spans="1:21" x14ac:dyDescent="0.25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</row>
    <row r="356" spans="1:21" x14ac:dyDescent="0.25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</row>
    <row r="357" spans="1:21" x14ac:dyDescent="0.25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</row>
    <row r="358" spans="1:21" x14ac:dyDescent="0.25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</row>
    <row r="359" spans="1:21" x14ac:dyDescent="0.25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</row>
    <row r="360" spans="1:21" x14ac:dyDescent="0.25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</row>
    <row r="361" spans="1:21" x14ac:dyDescent="0.25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</row>
    <row r="362" spans="1:21" x14ac:dyDescent="0.25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</row>
    <row r="363" spans="1:21" x14ac:dyDescent="0.25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</row>
    <row r="364" spans="1:21" x14ac:dyDescent="0.25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</row>
    <row r="365" spans="1:21" x14ac:dyDescent="0.25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</row>
    <row r="366" spans="1:21" x14ac:dyDescent="0.25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</row>
    <row r="367" spans="1:21" x14ac:dyDescent="0.25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</row>
    <row r="368" spans="1:21" x14ac:dyDescent="0.25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</row>
    <row r="369" spans="1:21" x14ac:dyDescent="0.25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</row>
    <row r="370" spans="1:21" x14ac:dyDescent="0.25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</row>
    <row r="371" spans="1:21" x14ac:dyDescent="0.25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</row>
    <row r="372" spans="1:21" x14ac:dyDescent="0.25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</row>
    <row r="373" spans="1:21" x14ac:dyDescent="0.25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</row>
    <row r="374" spans="1:21" x14ac:dyDescent="0.25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</row>
    <row r="375" spans="1:21" x14ac:dyDescent="0.25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</row>
    <row r="376" spans="1:21" x14ac:dyDescent="0.25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</row>
    <row r="377" spans="1:21" x14ac:dyDescent="0.25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</row>
    <row r="378" spans="1:21" x14ac:dyDescent="0.25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</row>
    <row r="379" spans="1:21" x14ac:dyDescent="0.25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</row>
    <row r="380" spans="1:21" x14ac:dyDescent="0.25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</row>
    <row r="381" spans="1:21" x14ac:dyDescent="0.25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</row>
    <row r="382" spans="1:21" x14ac:dyDescent="0.25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</row>
    <row r="383" spans="1:21" x14ac:dyDescent="0.25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</row>
    <row r="384" spans="1:21" x14ac:dyDescent="0.25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</row>
    <row r="385" spans="1:21" x14ac:dyDescent="0.25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</row>
    <row r="386" spans="1:21" x14ac:dyDescent="0.25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</row>
    <row r="387" spans="1:21" x14ac:dyDescent="0.25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</row>
    <row r="388" spans="1:21" x14ac:dyDescent="0.25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</row>
    <row r="389" spans="1:21" x14ac:dyDescent="0.25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</row>
    <row r="390" spans="1:21" x14ac:dyDescent="0.25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</row>
    <row r="391" spans="1:21" x14ac:dyDescent="0.25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</row>
    <row r="392" spans="1:21" x14ac:dyDescent="0.25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</row>
    <row r="393" spans="1:21" x14ac:dyDescent="0.25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</row>
    <row r="394" spans="1:21" x14ac:dyDescent="0.25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</row>
    <row r="395" spans="1:21" x14ac:dyDescent="0.25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</row>
    <row r="396" spans="1:21" x14ac:dyDescent="0.25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</row>
    <row r="397" spans="1:21" x14ac:dyDescent="0.25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</row>
    <row r="398" spans="1:21" x14ac:dyDescent="0.25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</row>
    <row r="399" spans="1:21" x14ac:dyDescent="0.25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</row>
    <row r="400" spans="1:21" x14ac:dyDescent="0.25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</row>
    <row r="401" spans="1:21" x14ac:dyDescent="0.25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</row>
    <row r="402" spans="1:21" x14ac:dyDescent="0.25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</row>
    <row r="403" spans="1:21" x14ac:dyDescent="0.25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</row>
    <row r="404" spans="1:21" x14ac:dyDescent="0.25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</row>
    <row r="405" spans="1:21" x14ac:dyDescent="0.25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</row>
    <row r="406" spans="1:21" x14ac:dyDescent="0.25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</row>
    <row r="407" spans="1:21" x14ac:dyDescent="0.25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</row>
    <row r="408" spans="1:21" x14ac:dyDescent="0.25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</row>
    <row r="409" spans="1:21" x14ac:dyDescent="0.25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</row>
    <row r="410" spans="1:21" x14ac:dyDescent="0.25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</row>
    <row r="411" spans="1:21" x14ac:dyDescent="0.25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</row>
    <row r="412" spans="1:21" x14ac:dyDescent="0.25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</row>
    <row r="413" spans="1:21" x14ac:dyDescent="0.25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</row>
    <row r="414" spans="1:21" x14ac:dyDescent="0.25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</row>
    <row r="415" spans="1:21" x14ac:dyDescent="0.25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</row>
    <row r="416" spans="1:21" x14ac:dyDescent="0.25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</row>
    <row r="417" spans="1:21" x14ac:dyDescent="0.25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</row>
    <row r="418" spans="1:21" x14ac:dyDescent="0.25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</row>
    <row r="419" spans="1:21" x14ac:dyDescent="0.25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</row>
    <row r="420" spans="1:21" x14ac:dyDescent="0.25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</row>
    <row r="421" spans="1:21" x14ac:dyDescent="0.25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</row>
    <row r="422" spans="1:21" x14ac:dyDescent="0.25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</row>
    <row r="423" spans="1:21" x14ac:dyDescent="0.25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</row>
    <row r="424" spans="1:21" x14ac:dyDescent="0.25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</row>
    <row r="425" spans="1:21" x14ac:dyDescent="0.25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</row>
    <row r="426" spans="1:21" x14ac:dyDescent="0.25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</row>
    <row r="427" spans="1:21" x14ac:dyDescent="0.25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</row>
    <row r="428" spans="1:21" x14ac:dyDescent="0.25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</row>
    <row r="429" spans="1:21" x14ac:dyDescent="0.25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</row>
    <row r="430" spans="1:21" x14ac:dyDescent="0.25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</row>
    <row r="431" spans="1:21" x14ac:dyDescent="0.25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</row>
    <row r="432" spans="1:21" x14ac:dyDescent="0.25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</row>
    <row r="433" spans="1:21" x14ac:dyDescent="0.25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</row>
    <row r="434" spans="1:21" x14ac:dyDescent="0.25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</row>
    <row r="435" spans="1:21" x14ac:dyDescent="0.25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</row>
    <row r="436" spans="1:21" x14ac:dyDescent="0.25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</row>
    <row r="437" spans="1:21" x14ac:dyDescent="0.25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</row>
    <row r="438" spans="1:21" x14ac:dyDescent="0.25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</row>
    <row r="439" spans="1:21" x14ac:dyDescent="0.25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</row>
    <row r="440" spans="1:21" x14ac:dyDescent="0.25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</row>
    <row r="441" spans="1:21" x14ac:dyDescent="0.25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</row>
    <row r="442" spans="1:21" x14ac:dyDescent="0.25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</row>
    <row r="443" spans="1:21" x14ac:dyDescent="0.25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</row>
    <row r="444" spans="1:21" x14ac:dyDescent="0.25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</row>
    <row r="445" spans="1:21" x14ac:dyDescent="0.25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</row>
    <row r="446" spans="1:21" x14ac:dyDescent="0.25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</row>
    <row r="447" spans="1:21" x14ac:dyDescent="0.25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</row>
    <row r="448" spans="1:21" x14ac:dyDescent="0.25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</row>
    <row r="449" spans="1:21" x14ac:dyDescent="0.25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</row>
    <row r="450" spans="1:21" x14ac:dyDescent="0.25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</row>
    <row r="451" spans="1:21" x14ac:dyDescent="0.25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</row>
    <row r="452" spans="1:21" x14ac:dyDescent="0.25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</row>
    <row r="453" spans="1:21" x14ac:dyDescent="0.25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</row>
    <row r="454" spans="1:21" x14ac:dyDescent="0.25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</row>
    <row r="455" spans="1:21" x14ac:dyDescent="0.25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</row>
    <row r="456" spans="1:21" x14ac:dyDescent="0.25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</row>
    <row r="457" spans="1:21" x14ac:dyDescent="0.25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</row>
    <row r="458" spans="1:21" x14ac:dyDescent="0.25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</row>
    <row r="459" spans="1:21" x14ac:dyDescent="0.25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</row>
    <row r="460" spans="1:21" x14ac:dyDescent="0.25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</row>
    <row r="461" spans="1:21" x14ac:dyDescent="0.25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</row>
    <row r="462" spans="1:21" x14ac:dyDescent="0.25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</row>
    <row r="463" spans="1:21" x14ac:dyDescent="0.25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</row>
    <row r="464" spans="1:21" x14ac:dyDescent="0.25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</row>
    <row r="465" spans="1:21" x14ac:dyDescent="0.25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</row>
    <row r="466" spans="1:21" x14ac:dyDescent="0.25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</row>
    <row r="467" spans="1:21" x14ac:dyDescent="0.25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</row>
    <row r="468" spans="1:21" x14ac:dyDescent="0.25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</row>
    <row r="469" spans="1:21" x14ac:dyDescent="0.25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</row>
    <row r="470" spans="1:21" x14ac:dyDescent="0.25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</row>
    <row r="471" spans="1:21" x14ac:dyDescent="0.25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</row>
    <row r="472" spans="1:21" x14ac:dyDescent="0.25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</row>
    <row r="473" spans="1:21" x14ac:dyDescent="0.25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</row>
    <row r="474" spans="1:21" x14ac:dyDescent="0.25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</row>
    <row r="475" spans="1:21" x14ac:dyDescent="0.25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</row>
    <row r="476" spans="1:21" x14ac:dyDescent="0.25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</row>
    <row r="477" spans="1:21" x14ac:dyDescent="0.25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</row>
    <row r="478" spans="1:21" x14ac:dyDescent="0.25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</row>
    <row r="479" spans="1:21" x14ac:dyDescent="0.25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</row>
    <row r="480" spans="1:21" x14ac:dyDescent="0.25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</row>
    <row r="481" spans="1:21" x14ac:dyDescent="0.25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</row>
    <row r="482" spans="1:21" x14ac:dyDescent="0.25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</row>
    <row r="483" spans="1:21" x14ac:dyDescent="0.25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</row>
    <row r="484" spans="1:21" x14ac:dyDescent="0.25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</row>
    <row r="485" spans="1:21" x14ac:dyDescent="0.25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</row>
    <row r="486" spans="1:21" x14ac:dyDescent="0.25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</row>
    <row r="487" spans="1:21" x14ac:dyDescent="0.25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</row>
    <row r="488" spans="1:21" x14ac:dyDescent="0.25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</row>
    <row r="489" spans="1:21" x14ac:dyDescent="0.25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</row>
    <row r="490" spans="1:21" x14ac:dyDescent="0.25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</row>
    <row r="491" spans="1:21" x14ac:dyDescent="0.25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</row>
    <row r="492" spans="1:21" x14ac:dyDescent="0.25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</row>
    <row r="493" spans="1:21" x14ac:dyDescent="0.25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</row>
    <row r="494" spans="1:21" x14ac:dyDescent="0.25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</row>
    <row r="495" spans="1:21" x14ac:dyDescent="0.25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</row>
    <row r="496" spans="1:21" x14ac:dyDescent="0.25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</row>
    <row r="497" spans="1:21" x14ac:dyDescent="0.25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</row>
    <row r="498" spans="1:21" x14ac:dyDescent="0.25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</row>
    <row r="499" spans="1:21" x14ac:dyDescent="0.25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</row>
    <row r="500" spans="1:21" x14ac:dyDescent="0.25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</row>
    <row r="501" spans="1:21" x14ac:dyDescent="0.25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</row>
    <row r="502" spans="1:21" x14ac:dyDescent="0.25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</row>
    <row r="503" spans="1:21" x14ac:dyDescent="0.25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</row>
    <row r="504" spans="1:21" x14ac:dyDescent="0.25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</row>
    <row r="505" spans="1:21" x14ac:dyDescent="0.25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</row>
    <row r="506" spans="1:21" x14ac:dyDescent="0.25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</row>
    <row r="507" spans="1:21" x14ac:dyDescent="0.25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</row>
    <row r="508" spans="1:21" x14ac:dyDescent="0.25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</row>
    <row r="509" spans="1:21" x14ac:dyDescent="0.25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</row>
    <row r="510" spans="1:21" x14ac:dyDescent="0.25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</row>
    <row r="511" spans="1:21" x14ac:dyDescent="0.25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</row>
    <row r="512" spans="1:21" x14ac:dyDescent="0.25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</row>
    <row r="513" spans="1:21" x14ac:dyDescent="0.25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</row>
    <row r="514" spans="1:21" x14ac:dyDescent="0.25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</row>
    <row r="515" spans="1:21" x14ac:dyDescent="0.25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</row>
    <row r="516" spans="1:21" x14ac:dyDescent="0.25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</row>
    <row r="517" spans="1:21" x14ac:dyDescent="0.25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</row>
    <row r="518" spans="1:21" x14ac:dyDescent="0.25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</row>
    <row r="519" spans="1:21" x14ac:dyDescent="0.25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</row>
    <row r="520" spans="1:21" x14ac:dyDescent="0.25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</row>
    <row r="521" spans="1:21" x14ac:dyDescent="0.25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</row>
    <row r="522" spans="1:21" x14ac:dyDescent="0.25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</row>
    <row r="523" spans="1:21" x14ac:dyDescent="0.25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</row>
    <row r="524" spans="1:21" x14ac:dyDescent="0.25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</row>
    <row r="525" spans="1:21" x14ac:dyDescent="0.25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</row>
    <row r="526" spans="1:21" x14ac:dyDescent="0.25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</row>
    <row r="527" spans="1:21" x14ac:dyDescent="0.25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</row>
    <row r="528" spans="1:21" x14ac:dyDescent="0.25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</row>
    <row r="529" spans="1:21" x14ac:dyDescent="0.25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</row>
    <row r="530" spans="1:21" x14ac:dyDescent="0.25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</row>
    <row r="531" spans="1:21" x14ac:dyDescent="0.25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</row>
    <row r="532" spans="1:21" x14ac:dyDescent="0.25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</row>
    <row r="533" spans="1:21" x14ac:dyDescent="0.25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</row>
    <row r="534" spans="1:21" x14ac:dyDescent="0.25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</row>
    <row r="535" spans="1:21" x14ac:dyDescent="0.25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</row>
    <row r="536" spans="1:21" x14ac:dyDescent="0.25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</row>
    <row r="537" spans="1:21" x14ac:dyDescent="0.25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</row>
    <row r="538" spans="1:21" x14ac:dyDescent="0.25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</row>
    <row r="539" spans="1:21" x14ac:dyDescent="0.25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</row>
    <row r="540" spans="1:21" x14ac:dyDescent="0.25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</row>
    <row r="541" spans="1:21" x14ac:dyDescent="0.25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</row>
    <row r="542" spans="1:21" x14ac:dyDescent="0.25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</row>
    <row r="543" spans="1:21" x14ac:dyDescent="0.25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</row>
    <row r="544" spans="1:21" x14ac:dyDescent="0.25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</row>
    <row r="545" spans="1:21" x14ac:dyDescent="0.25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</row>
    <row r="546" spans="1:21" x14ac:dyDescent="0.25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</row>
    <row r="547" spans="1:21" x14ac:dyDescent="0.25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</row>
    <row r="548" spans="1:21" x14ac:dyDescent="0.25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</row>
    <row r="549" spans="1:21" x14ac:dyDescent="0.25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</row>
    <row r="550" spans="1:21" x14ac:dyDescent="0.25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</row>
    <row r="551" spans="1:21" x14ac:dyDescent="0.25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</row>
    <row r="552" spans="1:21" x14ac:dyDescent="0.25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</row>
    <row r="553" spans="1:21" x14ac:dyDescent="0.25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</row>
    <row r="554" spans="1:21" x14ac:dyDescent="0.25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</row>
    <row r="555" spans="1:21" x14ac:dyDescent="0.25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</row>
    <row r="556" spans="1:21" x14ac:dyDescent="0.25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</row>
    <row r="557" spans="1:21" x14ac:dyDescent="0.25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</row>
    <row r="558" spans="1:21" x14ac:dyDescent="0.25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</row>
    <row r="559" spans="1:21" x14ac:dyDescent="0.25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</row>
    <row r="560" spans="1:21" x14ac:dyDescent="0.25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</row>
    <row r="561" spans="1:21" x14ac:dyDescent="0.25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</row>
    <row r="562" spans="1:21" x14ac:dyDescent="0.25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</row>
    <row r="563" spans="1:21" x14ac:dyDescent="0.25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</row>
    <row r="564" spans="1:21" x14ac:dyDescent="0.25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</row>
    <row r="565" spans="1:21" x14ac:dyDescent="0.25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</row>
    <row r="566" spans="1:21" x14ac:dyDescent="0.25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</row>
    <row r="567" spans="1:21" x14ac:dyDescent="0.25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</row>
    <row r="568" spans="1:21" x14ac:dyDescent="0.25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</row>
    <row r="569" spans="1:21" x14ac:dyDescent="0.25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</row>
    <row r="570" spans="1:21" x14ac:dyDescent="0.25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</row>
    <row r="571" spans="1:21" x14ac:dyDescent="0.25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</row>
    <row r="572" spans="1:21" x14ac:dyDescent="0.25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</row>
    <row r="573" spans="1:21" x14ac:dyDescent="0.25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</row>
    <row r="574" spans="1:21" x14ac:dyDescent="0.25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</row>
    <row r="575" spans="1:21" x14ac:dyDescent="0.25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</row>
    <row r="576" spans="1:21" x14ac:dyDescent="0.25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</row>
    <row r="577" spans="1:29" x14ac:dyDescent="0.25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</row>
    <row r="578" spans="1:29" x14ac:dyDescent="0.25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</row>
    <row r="579" spans="1:29" x14ac:dyDescent="0.25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</row>
    <row r="580" spans="1:29" x14ac:dyDescent="0.25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</row>
    <row r="581" spans="1:29" x14ac:dyDescent="0.25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</row>
    <row r="582" spans="1:29" x14ac:dyDescent="0.25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83"/>
      <c r="V582" s="83"/>
      <c r="W582" s="83"/>
      <c r="X582" s="83"/>
      <c r="Y582" s="83"/>
      <c r="Z582" s="83"/>
      <c r="AA582" s="83"/>
      <c r="AB582" s="83"/>
      <c r="AC582" s="83"/>
    </row>
    <row r="583" spans="1:29" x14ac:dyDescent="0.25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83"/>
      <c r="V583" s="83"/>
      <c r="W583" s="83"/>
      <c r="X583" s="83"/>
      <c r="Y583" s="83"/>
      <c r="Z583" s="83"/>
      <c r="AA583" s="83"/>
      <c r="AB583" s="83"/>
      <c r="AC583" s="83"/>
    </row>
    <row r="584" spans="1:29" x14ac:dyDescent="0.25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83"/>
      <c r="V584" s="83"/>
      <c r="W584" s="83"/>
      <c r="X584" s="83"/>
      <c r="Y584" s="83"/>
      <c r="Z584" s="83"/>
      <c r="AA584" s="83"/>
      <c r="AB584" s="83"/>
      <c r="AC584" s="83"/>
    </row>
    <row r="585" spans="1:29" x14ac:dyDescent="0.25">
      <c r="B585" s="83"/>
      <c r="C585" s="83"/>
      <c r="D585" s="83"/>
      <c r="E585" s="83"/>
      <c r="F585" s="83"/>
      <c r="G585" s="83"/>
      <c r="H585" s="83"/>
      <c r="I585" s="83"/>
      <c r="J585" s="83"/>
      <c r="K585" s="83"/>
      <c r="L585" s="83"/>
      <c r="M585" s="83"/>
      <c r="N585" s="83"/>
      <c r="O585" s="83"/>
      <c r="P585" s="83"/>
      <c r="Q585" s="83"/>
      <c r="R585" s="83"/>
      <c r="S585" s="83"/>
      <c r="T585" s="83"/>
      <c r="U585" s="83"/>
      <c r="V585" s="83"/>
      <c r="W585" s="83"/>
      <c r="X585" s="83"/>
      <c r="Y585" s="83"/>
      <c r="Z585" s="83"/>
      <c r="AA585" s="83"/>
      <c r="AB585" s="83"/>
      <c r="AC585" s="83"/>
    </row>
    <row r="586" spans="1:29" x14ac:dyDescent="0.25">
      <c r="B586" s="83"/>
      <c r="C586" s="83"/>
      <c r="D586" s="83"/>
      <c r="E586" s="83"/>
      <c r="F586" s="83"/>
      <c r="G586" s="83"/>
      <c r="H586" s="83"/>
      <c r="I586" s="83"/>
      <c r="J586" s="83"/>
      <c r="K586" s="83"/>
      <c r="L586" s="83"/>
      <c r="M586" s="83"/>
      <c r="N586" s="83"/>
      <c r="O586" s="83"/>
      <c r="P586" s="83"/>
      <c r="Q586" s="83"/>
      <c r="R586" s="83"/>
      <c r="S586" s="83"/>
      <c r="T586" s="83"/>
      <c r="U586" s="83"/>
      <c r="V586" s="83"/>
      <c r="W586" s="83"/>
      <c r="X586" s="83"/>
      <c r="Y586" s="83"/>
      <c r="Z586" s="83"/>
      <c r="AA586" s="83"/>
      <c r="AB586" s="83"/>
      <c r="AC586" s="83"/>
    </row>
    <row r="587" spans="1:29" x14ac:dyDescent="0.25">
      <c r="B587" s="83"/>
      <c r="C587" s="83"/>
      <c r="D587" s="83"/>
      <c r="E587" s="83"/>
      <c r="F587" s="83"/>
      <c r="G587" s="83"/>
      <c r="H587" s="83"/>
      <c r="I587" s="83"/>
      <c r="J587" s="83"/>
      <c r="K587" s="83"/>
      <c r="L587" s="83"/>
      <c r="M587" s="83"/>
      <c r="N587" s="83"/>
      <c r="O587" s="83"/>
      <c r="P587" s="83"/>
      <c r="Q587" s="83"/>
      <c r="R587" s="83"/>
      <c r="S587" s="83"/>
      <c r="T587" s="83"/>
      <c r="U587" s="83"/>
      <c r="V587" s="83"/>
      <c r="W587" s="83"/>
      <c r="X587" s="83"/>
      <c r="Y587" s="83"/>
      <c r="Z587" s="83"/>
      <c r="AA587" s="83"/>
      <c r="AB587" s="83"/>
      <c r="AC587" s="83"/>
    </row>
    <row r="588" spans="1:29" x14ac:dyDescent="0.25">
      <c r="B588" s="83"/>
      <c r="C588" s="83"/>
      <c r="D588" s="83"/>
      <c r="E588" s="83"/>
      <c r="F588" s="83"/>
      <c r="G588" s="83"/>
      <c r="H588" s="83"/>
      <c r="I588" s="83"/>
      <c r="J588" s="83"/>
      <c r="K588" s="83"/>
      <c r="L588" s="83"/>
      <c r="M588" s="83"/>
      <c r="N588" s="83"/>
      <c r="O588" s="83"/>
      <c r="P588" s="83"/>
      <c r="Q588" s="83"/>
      <c r="R588" s="83"/>
      <c r="S588" s="83"/>
      <c r="T588" s="83"/>
      <c r="U588" s="83"/>
      <c r="V588" s="83"/>
      <c r="W588" s="83"/>
      <c r="X588" s="83"/>
      <c r="Y588" s="83"/>
      <c r="Z588" s="83"/>
      <c r="AA588" s="83"/>
      <c r="AB588" s="83"/>
      <c r="AC588" s="83"/>
    </row>
    <row r="589" spans="1:29" x14ac:dyDescent="0.25">
      <c r="B589" s="83"/>
      <c r="C589" s="83"/>
      <c r="D589" s="83"/>
      <c r="E589" s="83"/>
      <c r="F589" s="83"/>
      <c r="G589" s="83"/>
      <c r="H589" s="83"/>
      <c r="I589" s="83"/>
      <c r="J589" s="83"/>
      <c r="K589" s="83"/>
      <c r="L589" s="83"/>
      <c r="M589" s="83"/>
      <c r="N589" s="83"/>
      <c r="O589" s="83"/>
      <c r="P589" s="83"/>
      <c r="Q589" s="83"/>
      <c r="R589" s="83"/>
      <c r="S589" s="83"/>
      <c r="T589" s="83"/>
      <c r="U589" s="83"/>
      <c r="V589" s="83"/>
      <c r="W589" s="83"/>
      <c r="X589" s="83"/>
      <c r="Y589" s="83"/>
      <c r="Z589" s="83"/>
      <c r="AA589" s="83"/>
      <c r="AB589" s="83"/>
      <c r="AC589" s="83"/>
    </row>
    <row r="590" spans="1:29" x14ac:dyDescent="0.25">
      <c r="B590" s="83"/>
      <c r="C590" s="83"/>
      <c r="D590" s="83"/>
      <c r="E590" s="83"/>
      <c r="F590" s="83"/>
      <c r="G590" s="83"/>
      <c r="H590" s="83"/>
      <c r="I590" s="83"/>
      <c r="J590" s="83"/>
      <c r="K590" s="83"/>
      <c r="L590" s="83"/>
      <c r="M590" s="83"/>
      <c r="N590" s="83"/>
      <c r="O590" s="83"/>
      <c r="P590" s="83"/>
      <c r="Q590" s="83"/>
      <c r="R590" s="83"/>
      <c r="S590" s="83"/>
      <c r="T590" s="83"/>
      <c r="U590" s="83"/>
      <c r="V590" s="83"/>
      <c r="W590" s="83"/>
      <c r="X590" s="83"/>
      <c r="Y590" s="83"/>
      <c r="Z590" s="83"/>
      <c r="AA590" s="83"/>
      <c r="AB590" s="83"/>
      <c r="AC590" s="83"/>
    </row>
    <row r="591" spans="1:29" x14ac:dyDescent="0.25">
      <c r="B591" s="83"/>
      <c r="C591" s="83"/>
      <c r="D591" s="83"/>
      <c r="E591" s="83"/>
      <c r="F591" s="83"/>
      <c r="G591" s="83"/>
      <c r="H591" s="83"/>
      <c r="I591" s="83"/>
      <c r="J591" s="83"/>
      <c r="K591" s="83"/>
      <c r="L591" s="83"/>
      <c r="M591" s="83"/>
      <c r="N591" s="83"/>
      <c r="O591" s="83"/>
      <c r="P591" s="83"/>
      <c r="Q591" s="83"/>
      <c r="R591" s="83"/>
      <c r="S591" s="83"/>
      <c r="T591" s="83"/>
      <c r="U591" s="83"/>
      <c r="V591" s="83"/>
      <c r="W591" s="83"/>
      <c r="X591" s="83"/>
      <c r="Y591" s="83"/>
      <c r="Z591" s="83"/>
      <c r="AA591" s="83"/>
      <c r="AB591" s="83"/>
      <c r="AC591" s="83"/>
    </row>
    <row r="592" spans="1:29" x14ac:dyDescent="0.25">
      <c r="B592" s="83"/>
      <c r="C592" s="83"/>
      <c r="D592" s="83"/>
      <c r="E592" s="83"/>
      <c r="F592" s="83"/>
      <c r="G592" s="83"/>
      <c r="H592" s="83"/>
      <c r="I592" s="83"/>
      <c r="J592" s="83"/>
      <c r="K592" s="83"/>
      <c r="L592" s="83"/>
      <c r="M592" s="83"/>
      <c r="N592" s="83"/>
      <c r="O592" s="83"/>
      <c r="P592" s="83"/>
      <c r="Q592" s="83"/>
      <c r="R592" s="83"/>
      <c r="S592" s="83"/>
      <c r="T592" s="83"/>
      <c r="U592" s="83"/>
      <c r="V592" s="83"/>
      <c r="W592" s="83"/>
      <c r="X592" s="83"/>
      <c r="Y592" s="83"/>
      <c r="Z592" s="83"/>
      <c r="AA592" s="83"/>
      <c r="AB592" s="83"/>
      <c r="AC592" s="83"/>
    </row>
    <row r="593" spans="2:29" x14ac:dyDescent="0.25">
      <c r="B593" s="83"/>
      <c r="C593" s="83"/>
      <c r="D593" s="83"/>
      <c r="E593" s="83"/>
      <c r="F593" s="83"/>
      <c r="G593" s="83"/>
      <c r="H593" s="83"/>
      <c r="I593" s="83"/>
      <c r="J593" s="83"/>
      <c r="K593" s="83"/>
      <c r="L593" s="83"/>
      <c r="M593" s="83"/>
      <c r="N593" s="83"/>
      <c r="O593" s="83"/>
      <c r="P593" s="83"/>
      <c r="Q593" s="83"/>
      <c r="R593" s="83"/>
      <c r="S593" s="83"/>
      <c r="T593" s="83"/>
      <c r="U593" s="83"/>
      <c r="V593" s="83"/>
      <c r="W593" s="83"/>
      <c r="X593" s="83"/>
      <c r="Y593" s="83"/>
      <c r="Z593" s="83"/>
      <c r="AA593" s="83"/>
      <c r="AB593" s="83"/>
      <c r="AC593" s="83"/>
    </row>
    <row r="594" spans="2:29" x14ac:dyDescent="0.25">
      <c r="B594" s="83"/>
      <c r="C594" s="83"/>
      <c r="D594" s="83"/>
      <c r="E594" s="83"/>
      <c r="F594" s="83"/>
      <c r="G594" s="83"/>
      <c r="H594" s="83"/>
      <c r="I594" s="83"/>
      <c r="J594" s="83"/>
      <c r="K594" s="83"/>
      <c r="L594" s="83"/>
      <c r="M594" s="83"/>
      <c r="N594" s="83"/>
      <c r="O594" s="83"/>
      <c r="P594" s="83"/>
      <c r="Q594" s="83"/>
      <c r="R594" s="83"/>
      <c r="S594" s="83"/>
      <c r="T594" s="83"/>
      <c r="U594" s="83"/>
      <c r="V594" s="83"/>
      <c r="W594" s="83"/>
      <c r="X594" s="83"/>
      <c r="Y594" s="83"/>
      <c r="Z594" s="83"/>
      <c r="AA594" s="83"/>
      <c r="AB594" s="83"/>
      <c r="AC594" s="83"/>
    </row>
    <row r="595" spans="2:29" x14ac:dyDescent="0.25">
      <c r="B595" s="83"/>
      <c r="C595" s="83"/>
      <c r="D595" s="83"/>
      <c r="E595" s="83"/>
      <c r="F595" s="83"/>
      <c r="G595" s="83"/>
      <c r="H595" s="83"/>
      <c r="I595" s="83"/>
      <c r="J595" s="83"/>
      <c r="K595" s="83"/>
      <c r="L595" s="83"/>
      <c r="M595" s="83"/>
      <c r="N595" s="83"/>
      <c r="O595" s="83"/>
      <c r="P595" s="83"/>
      <c r="Q595" s="83"/>
      <c r="R595" s="83"/>
      <c r="S595" s="83"/>
      <c r="T595" s="83"/>
      <c r="U595" s="83"/>
      <c r="V595" s="83"/>
      <c r="W595" s="83"/>
      <c r="X595" s="83"/>
      <c r="Y595" s="83"/>
      <c r="Z595" s="83"/>
      <c r="AA595" s="83"/>
      <c r="AB595" s="83"/>
      <c r="AC595" s="83"/>
    </row>
    <row r="596" spans="2:29" x14ac:dyDescent="0.25">
      <c r="B596" s="83"/>
      <c r="C596" s="83"/>
      <c r="D596" s="83"/>
      <c r="E596" s="83"/>
      <c r="F596" s="83"/>
      <c r="G596" s="83"/>
      <c r="H596" s="83"/>
      <c r="I596" s="83"/>
      <c r="J596" s="83"/>
      <c r="K596" s="83"/>
      <c r="L596" s="83"/>
      <c r="M596" s="83"/>
      <c r="N596" s="83"/>
      <c r="O596" s="83"/>
      <c r="P596" s="83"/>
      <c r="Q596" s="83"/>
      <c r="R596" s="83"/>
      <c r="S596" s="83"/>
      <c r="T596" s="83"/>
      <c r="U596" s="83"/>
      <c r="V596" s="83"/>
      <c r="W596" s="83"/>
      <c r="X596" s="83"/>
      <c r="Y596" s="83"/>
      <c r="Z596" s="83"/>
      <c r="AA596" s="83"/>
      <c r="AB596" s="83"/>
      <c r="AC596" s="83"/>
    </row>
    <row r="597" spans="2:29" x14ac:dyDescent="0.25">
      <c r="B597" s="83"/>
      <c r="C597" s="83"/>
      <c r="D597" s="83"/>
      <c r="E597" s="83"/>
      <c r="F597" s="83"/>
      <c r="G597" s="83"/>
      <c r="H597" s="83"/>
      <c r="I597" s="83"/>
      <c r="J597" s="83"/>
      <c r="K597" s="83"/>
      <c r="L597" s="83"/>
      <c r="M597" s="83"/>
      <c r="N597" s="83"/>
      <c r="O597" s="83"/>
      <c r="P597" s="83"/>
      <c r="Q597" s="83"/>
      <c r="R597" s="83"/>
      <c r="S597" s="83"/>
      <c r="T597" s="83"/>
      <c r="U597" s="83"/>
      <c r="V597" s="83"/>
      <c r="W597" s="83"/>
      <c r="X597" s="83"/>
      <c r="Y597" s="83"/>
      <c r="Z597" s="83"/>
      <c r="AA597" s="83"/>
      <c r="AB597" s="83"/>
      <c r="AC597" s="83"/>
    </row>
    <row r="598" spans="2:29" x14ac:dyDescent="0.25">
      <c r="B598" s="83"/>
      <c r="C598" s="83"/>
      <c r="D598" s="83"/>
      <c r="E598" s="83"/>
      <c r="F598" s="83"/>
      <c r="G598" s="83"/>
      <c r="H598" s="83"/>
      <c r="I598" s="83"/>
      <c r="J598" s="83"/>
      <c r="K598" s="83"/>
      <c r="L598" s="83"/>
      <c r="M598" s="83"/>
      <c r="N598" s="83"/>
      <c r="O598" s="83"/>
      <c r="P598" s="83"/>
      <c r="Q598" s="83"/>
      <c r="R598" s="83"/>
      <c r="S598" s="83"/>
      <c r="T598" s="83"/>
      <c r="U598" s="83"/>
      <c r="V598" s="83"/>
      <c r="W598" s="83"/>
      <c r="X598" s="83"/>
      <c r="Y598" s="83"/>
      <c r="Z598" s="83"/>
      <c r="AA598" s="83"/>
      <c r="AB598" s="83"/>
      <c r="AC598" s="83"/>
    </row>
    <row r="599" spans="2:29" x14ac:dyDescent="0.25">
      <c r="B599" s="83"/>
      <c r="C599" s="83"/>
      <c r="D599" s="83"/>
      <c r="E599" s="83"/>
      <c r="F599" s="83"/>
      <c r="G599" s="83"/>
      <c r="H599" s="83"/>
      <c r="I599" s="83"/>
      <c r="J599" s="83"/>
      <c r="K599" s="83"/>
      <c r="L599" s="83"/>
      <c r="M599" s="83"/>
      <c r="N599" s="83"/>
      <c r="O599" s="83"/>
      <c r="P599" s="83"/>
      <c r="Q599" s="83"/>
      <c r="R599" s="83"/>
      <c r="S599" s="83"/>
      <c r="T599" s="83"/>
      <c r="U599" s="83"/>
      <c r="V599" s="83"/>
      <c r="W599" s="83"/>
      <c r="X599" s="83"/>
      <c r="Y599" s="83"/>
      <c r="Z599" s="83"/>
      <c r="AA599" s="83"/>
      <c r="AB599" s="83"/>
      <c r="AC599" s="83"/>
    </row>
    <row r="600" spans="2:29" x14ac:dyDescent="0.25">
      <c r="B600" s="83"/>
      <c r="C600" s="83"/>
      <c r="D600" s="83"/>
      <c r="E600" s="83"/>
      <c r="F600" s="83"/>
      <c r="G600" s="83"/>
      <c r="H600" s="83"/>
      <c r="I600" s="83"/>
      <c r="J600" s="83"/>
      <c r="K600" s="83"/>
      <c r="L600" s="83"/>
      <c r="M600" s="83"/>
      <c r="N600" s="83"/>
      <c r="O600" s="83"/>
      <c r="P600" s="83"/>
      <c r="Q600" s="83"/>
      <c r="R600" s="83"/>
      <c r="S600" s="83"/>
      <c r="T600" s="83"/>
      <c r="U600" s="83"/>
      <c r="V600" s="83"/>
      <c r="W600" s="83"/>
      <c r="X600" s="83"/>
      <c r="Y600" s="83"/>
      <c r="Z600" s="83"/>
      <c r="AA600" s="83"/>
      <c r="AB600" s="83"/>
      <c r="AC600" s="83"/>
    </row>
    <row r="601" spans="2:29" x14ac:dyDescent="0.25">
      <c r="B601" s="83"/>
      <c r="C601" s="83"/>
      <c r="D601" s="83"/>
      <c r="E601" s="83"/>
      <c r="F601" s="83"/>
      <c r="G601" s="83"/>
      <c r="H601" s="83"/>
      <c r="I601" s="83"/>
      <c r="J601" s="83"/>
      <c r="K601" s="83"/>
      <c r="L601" s="83"/>
      <c r="M601" s="83"/>
      <c r="N601" s="83"/>
      <c r="O601" s="83"/>
      <c r="P601" s="83"/>
      <c r="Q601" s="83"/>
      <c r="R601" s="83"/>
      <c r="S601" s="83"/>
      <c r="T601" s="83"/>
      <c r="U601" s="83"/>
      <c r="V601" s="83"/>
      <c r="W601" s="83"/>
      <c r="X601" s="83"/>
      <c r="Y601" s="83"/>
      <c r="Z601" s="83"/>
      <c r="AA601" s="83"/>
      <c r="AB601" s="83"/>
      <c r="AC601" s="83"/>
    </row>
    <row r="602" spans="2:29" x14ac:dyDescent="0.25">
      <c r="B602" s="83"/>
      <c r="C602" s="83"/>
      <c r="D602" s="83"/>
      <c r="E602" s="83"/>
      <c r="F602" s="83"/>
      <c r="G602" s="83"/>
      <c r="H602" s="83"/>
      <c r="I602" s="83"/>
      <c r="J602" s="83"/>
      <c r="K602" s="83"/>
      <c r="L602" s="83"/>
      <c r="M602" s="83"/>
      <c r="N602" s="83"/>
      <c r="O602" s="83"/>
      <c r="P602" s="83"/>
      <c r="Q602" s="83"/>
      <c r="R602" s="83"/>
      <c r="S602" s="83"/>
      <c r="T602" s="83"/>
      <c r="U602" s="83"/>
      <c r="V602" s="83"/>
      <c r="W602" s="83"/>
      <c r="X602" s="83"/>
      <c r="Y602" s="83"/>
      <c r="Z602" s="83"/>
      <c r="AA602" s="83"/>
      <c r="AB602" s="83"/>
      <c r="AC602" s="83"/>
    </row>
    <row r="603" spans="2:29" x14ac:dyDescent="0.25">
      <c r="B603" s="83"/>
      <c r="C603" s="83"/>
      <c r="D603" s="83"/>
      <c r="E603" s="83"/>
      <c r="F603" s="83"/>
      <c r="G603" s="83"/>
      <c r="H603" s="83"/>
      <c r="I603" s="83"/>
      <c r="J603" s="83"/>
      <c r="K603" s="83"/>
      <c r="L603" s="83"/>
      <c r="M603" s="83"/>
      <c r="N603" s="83"/>
      <c r="O603" s="83"/>
      <c r="P603" s="83"/>
      <c r="Q603" s="83"/>
      <c r="R603" s="83"/>
      <c r="S603" s="83"/>
      <c r="T603" s="83"/>
      <c r="U603" s="83"/>
      <c r="V603" s="83"/>
      <c r="W603" s="83"/>
      <c r="X603" s="83"/>
      <c r="Y603" s="83"/>
      <c r="Z603" s="83"/>
      <c r="AA603" s="83"/>
      <c r="AB603" s="83"/>
      <c r="AC603" s="83"/>
    </row>
    <row r="604" spans="2:29" x14ac:dyDescent="0.25">
      <c r="B604" s="83"/>
      <c r="C604" s="83"/>
      <c r="D604" s="83"/>
      <c r="E604" s="83"/>
      <c r="F604" s="83"/>
      <c r="G604" s="83"/>
      <c r="H604" s="83"/>
      <c r="I604" s="83"/>
      <c r="J604" s="83"/>
      <c r="K604" s="83"/>
      <c r="L604" s="83"/>
      <c r="M604" s="83"/>
      <c r="N604" s="83"/>
      <c r="O604" s="83"/>
      <c r="P604" s="83"/>
      <c r="Q604" s="83"/>
      <c r="R604" s="83"/>
      <c r="S604" s="83"/>
      <c r="T604" s="83"/>
      <c r="U604" s="83"/>
      <c r="V604" s="83"/>
      <c r="W604" s="83"/>
      <c r="X604" s="83"/>
      <c r="Y604" s="83"/>
      <c r="Z604" s="83"/>
      <c r="AA604" s="83"/>
      <c r="AB604" s="83"/>
      <c r="AC604" s="83"/>
    </row>
    <row r="605" spans="2:29" x14ac:dyDescent="0.25">
      <c r="B605" s="83"/>
      <c r="C605" s="83"/>
      <c r="D605" s="83"/>
      <c r="E605" s="83"/>
      <c r="F605" s="83"/>
      <c r="G605" s="83"/>
      <c r="H605" s="83"/>
      <c r="I605" s="83"/>
      <c r="J605" s="83"/>
      <c r="K605" s="83"/>
      <c r="L605" s="83"/>
      <c r="M605" s="83"/>
      <c r="N605" s="83"/>
      <c r="O605" s="83"/>
      <c r="P605" s="83"/>
      <c r="Q605" s="83"/>
      <c r="R605" s="83"/>
      <c r="S605" s="83"/>
      <c r="T605" s="83"/>
      <c r="U605" s="83"/>
      <c r="V605" s="83"/>
      <c r="W605" s="83"/>
      <c r="X605" s="83"/>
      <c r="Y605" s="83"/>
      <c r="Z605" s="83"/>
      <c r="AA605" s="83"/>
      <c r="AB605" s="83"/>
      <c r="AC605" s="83"/>
    </row>
    <row r="606" spans="2:29" x14ac:dyDescent="0.25">
      <c r="B606" s="83"/>
      <c r="C606" s="83"/>
      <c r="D606" s="83"/>
      <c r="E606" s="83"/>
      <c r="F606" s="83"/>
      <c r="G606" s="83"/>
      <c r="H606" s="83"/>
      <c r="I606" s="83"/>
      <c r="J606" s="83"/>
      <c r="K606" s="83"/>
      <c r="L606" s="83"/>
      <c r="M606" s="83"/>
      <c r="N606" s="83"/>
      <c r="O606" s="83"/>
      <c r="P606" s="83"/>
      <c r="Q606" s="83"/>
      <c r="R606" s="83"/>
      <c r="S606" s="83"/>
      <c r="T606" s="83"/>
      <c r="U606" s="83"/>
      <c r="V606" s="83"/>
      <c r="W606" s="83"/>
      <c r="X606" s="83"/>
      <c r="Y606" s="83"/>
      <c r="Z606" s="83"/>
      <c r="AA606" s="83"/>
      <c r="AB606" s="83"/>
      <c r="AC606" s="83"/>
    </row>
    <row r="607" spans="2:29" x14ac:dyDescent="0.25">
      <c r="B607" s="83"/>
      <c r="C607" s="83"/>
      <c r="D607" s="83"/>
      <c r="E607" s="83"/>
      <c r="F607" s="83"/>
      <c r="G607" s="83"/>
      <c r="H607" s="83"/>
      <c r="I607" s="83"/>
      <c r="J607" s="83"/>
      <c r="K607" s="83"/>
      <c r="L607" s="83"/>
      <c r="M607" s="83"/>
      <c r="N607" s="83"/>
      <c r="O607" s="83"/>
      <c r="P607" s="83"/>
      <c r="Q607" s="83"/>
      <c r="R607" s="83"/>
      <c r="S607" s="83"/>
      <c r="T607" s="83"/>
      <c r="U607" s="83"/>
      <c r="V607" s="83"/>
      <c r="W607" s="83"/>
      <c r="X607" s="83"/>
      <c r="Y607" s="83"/>
      <c r="Z607" s="83"/>
      <c r="AA607" s="83"/>
      <c r="AB607" s="83"/>
      <c r="AC607" s="83"/>
    </row>
    <row r="608" spans="2:29" x14ac:dyDescent="0.25">
      <c r="B608" s="83"/>
      <c r="C608" s="83"/>
      <c r="D608" s="83"/>
      <c r="E608" s="83"/>
      <c r="F608" s="83"/>
      <c r="G608" s="83"/>
      <c r="H608" s="83"/>
      <c r="I608" s="83"/>
      <c r="J608" s="83"/>
      <c r="K608" s="83"/>
      <c r="L608" s="83"/>
      <c r="M608" s="83"/>
      <c r="N608" s="83"/>
      <c r="O608" s="83"/>
      <c r="P608" s="83"/>
      <c r="Q608" s="83"/>
      <c r="R608" s="83"/>
      <c r="S608" s="83"/>
      <c r="T608" s="83"/>
      <c r="U608" s="83"/>
      <c r="V608" s="83"/>
      <c r="W608" s="83"/>
      <c r="X608" s="83"/>
      <c r="Y608" s="83"/>
      <c r="Z608" s="83"/>
      <c r="AA608" s="83"/>
      <c r="AB608" s="83"/>
      <c r="AC608" s="83"/>
    </row>
    <row r="609" spans="2:29" x14ac:dyDescent="0.25">
      <c r="B609" s="83"/>
      <c r="C609" s="83"/>
      <c r="D609" s="83"/>
      <c r="E609" s="83"/>
      <c r="F609" s="83"/>
      <c r="G609" s="83"/>
      <c r="H609" s="83"/>
      <c r="I609" s="83"/>
      <c r="J609" s="83"/>
      <c r="K609" s="83"/>
      <c r="L609" s="83"/>
      <c r="M609" s="83"/>
      <c r="N609" s="83"/>
      <c r="O609" s="83"/>
      <c r="P609" s="83"/>
      <c r="Q609" s="83"/>
      <c r="R609" s="83"/>
      <c r="S609" s="83"/>
      <c r="T609" s="83"/>
      <c r="U609" s="83"/>
      <c r="V609" s="83"/>
      <c r="W609" s="83"/>
      <c r="X609" s="83"/>
      <c r="Y609" s="83"/>
      <c r="Z609" s="83"/>
      <c r="AA609" s="83"/>
      <c r="AB609" s="83"/>
      <c r="AC609" s="83"/>
    </row>
    <row r="610" spans="2:29" x14ac:dyDescent="0.25">
      <c r="B610" s="83"/>
      <c r="C610" s="83"/>
      <c r="D610" s="83"/>
      <c r="E610" s="83"/>
      <c r="F610" s="83"/>
      <c r="G610" s="83"/>
      <c r="H610" s="83"/>
      <c r="I610" s="83"/>
      <c r="J610" s="83"/>
      <c r="K610" s="83"/>
      <c r="L610" s="83"/>
      <c r="M610" s="83"/>
      <c r="N610" s="83"/>
      <c r="O610" s="83"/>
      <c r="P610" s="83"/>
      <c r="Q610" s="83"/>
      <c r="R610" s="83"/>
      <c r="S610" s="83"/>
      <c r="T610" s="83"/>
      <c r="U610" s="83"/>
      <c r="V610" s="83"/>
      <c r="W610" s="83"/>
      <c r="X610" s="83"/>
      <c r="Y610" s="83"/>
      <c r="Z610" s="83"/>
      <c r="AA610" s="83"/>
      <c r="AB610" s="83"/>
      <c r="AC610" s="83"/>
    </row>
    <row r="611" spans="2:29" x14ac:dyDescent="0.25">
      <c r="B611" s="83"/>
      <c r="C611" s="83"/>
      <c r="D611" s="83"/>
      <c r="E611" s="83"/>
      <c r="F611" s="83"/>
      <c r="G611" s="83"/>
      <c r="H611" s="83"/>
      <c r="I611" s="83"/>
      <c r="J611" s="83"/>
      <c r="K611" s="83"/>
      <c r="L611" s="83"/>
      <c r="M611" s="83"/>
      <c r="N611" s="83"/>
      <c r="O611" s="83"/>
      <c r="P611" s="83"/>
      <c r="Q611" s="83"/>
      <c r="R611" s="83"/>
      <c r="S611" s="83"/>
      <c r="T611" s="83"/>
      <c r="U611" s="83"/>
      <c r="V611" s="83"/>
      <c r="W611" s="83"/>
      <c r="X611" s="83"/>
      <c r="Y611" s="83"/>
      <c r="Z611" s="83"/>
      <c r="AA611" s="83"/>
      <c r="AB611" s="83"/>
      <c r="AC611" s="83"/>
    </row>
    <row r="612" spans="2:29" x14ac:dyDescent="0.25">
      <c r="B612" s="83"/>
      <c r="C612" s="83"/>
      <c r="D612" s="83"/>
      <c r="E612" s="83"/>
      <c r="F612" s="83"/>
      <c r="G612" s="83"/>
      <c r="H612" s="83"/>
      <c r="I612" s="83"/>
      <c r="J612" s="83"/>
      <c r="K612" s="83"/>
      <c r="L612" s="83"/>
      <c r="M612" s="83"/>
      <c r="N612" s="83"/>
      <c r="O612" s="83"/>
      <c r="P612" s="83"/>
      <c r="Q612" s="83"/>
      <c r="R612" s="83"/>
      <c r="S612" s="83"/>
      <c r="T612" s="83"/>
      <c r="U612" s="83"/>
      <c r="V612" s="83"/>
      <c r="W612" s="83"/>
      <c r="X612" s="83"/>
      <c r="Y612" s="83"/>
      <c r="Z612" s="83"/>
      <c r="AA612" s="83"/>
      <c r="AB612" s="83"/>
      <c r="AC612" s="83"/>
    </row>
    <row r="613" spans="2:29" x14ac:dyDescent="0.25">
      <c r="B613" s="83"/>
      <c r="C613" s="83"/>
      <c r="D613" s="83"/>
      <c r="E613" s="83"/>
      <c r="F613" s="83"/>
      <c r="G613" s="83"/>
      <c r="H613" s="83"/>
      <c r="I613" s="83"/>
      <c r="J613" s="83"/>
      <c r="K613" s="83"/>
      <c r="L613" s="83"/>
      <c r="M613" s="83"/>
      <c r="N613" s="83"/>
      <c r="O613" s="83"/>
      <c r="P613" s="83"/>
      <c r="Q613" s="83"/>
      <c r="R613" s="83"/>
      <c r="S613" s="83"/>
      <c r="T613" s="83"/>
      <c r="U613" s="83"/>
      <c r="V613" s="83"/>
      <c r="W613" s="83"/>
      <c r="X613" s="83"/>
      <c r="Y613" s="83"/>
      <c r="Z613" s="83"/>
      <c r="AA613" s="83"/>
      <c r="AB613" s="83"/>
      <c r="AC613" s="83"/>
    </row>
    <row r="614" spans="2:29" x14ac:dyDescent="0.25">
      <c r="B614" s="83"/>
      <c r="C614" s="83"/>
      <c r="D614" s="83"/>
      <c r="E614" s="83"/>
      <c r="F614" s="83"/>
      <c r="G614" s="83"/>
      <c r="H614" s="83"/>
      <c r="I614" s="83"/>
      <c r="J614" s="83"/>
      <c r="K614" s="83"/>
      <c r="L614" s="83"/>
      <c r="M614" s="83"/>
      <c r="N614" s="83"/>
      <c r="O614" s="83"/>
      <c r="P614" s="83"/>
      <c r="Q614" s="83"/>
      <c r="R614" s="83"/>
      <c r="S614" s="83"/>
      <c r="T614" s="83"/>
      <c r="U614" s="83"/>
      <c r="V614" s="83"/>
      <c r="W614" s="83"/>
      <c r="X614" s="83"/>
      <c r="Y614" s="83"/>
      <c r="Z614" s="83"/>
      <c r="AA614" s="83"/>
      <c r="AB614" s="83"/>
      <c r="AC614" s="83"/>
    </row>
    <row r="615" spans="2:29" x14ac:dyDescent="0.25">
      <c r="B615" s="83"/>
      <c r="C615" s="83"/>
      <c r="D615" s="83"/>
      <c r="E615" s="83"/>
      <c r="F615" s="83"/>
      <c r="G615" s="83"/>
      <c r="H615" s="83"/>
      <c r="I615" s="83"/>
      <c r="J615" s="83"/>
      <c r="K615" s="83"/>
      <c r="L615" s="83"/>
      <c r="M615" s="83"/>
      <c r="N615" s="83"/>
      <c r="O615" s="83"/>
      <c r="P615" s="83"/>
      <c r="Q615" s="83"/>
      <c r="R615" s="83"/>
      <c r="S615" s="83"/>
      <c r="T615" s="83"/>
      <c r="U615" s="83"/>
      <c r="V615" s="83"/>
      <c r="W615" s="83"/>
      <c r="X615" s="83"/>
      <c r="Y615" s="83"/>
      <c r="Z615" s="83"/>
      <c r="AA615" s="83"/>
      <c r="AB615" s="83"/>
      <c r="AC615" s="83"/>
    </row>
    <row r="616" spans="2:29" x14ac:dyDescent="0.25">
      <c r="B616" s="83"/>
      <c r="C616" s="83"/>
      <c r="D616" s="83"/>
      <c r="E616" s="83"/>
      <c r="F616" s="83"/>
      <c r="G616" s="83"/>
      <c r="H616" s="83"/>
      <c r="I616" s="83"/>
      <c r="J616" s="83"/>
      <c r="K616" s="83"/>
      <c r="L616" s="83"/>
      <c r="M616" s="83"/>
      <c r="N616" s="83"/>
      <c r="O616" s="83"/>
      <c r="P616" s="83"/>
      <c r="Q616" s="83"/>
      <c r="R616" s="83"/>
      <c r="S616" s="83"/>
      <c r="T616" s="83"/>
      <c r="U616" s="83"/>
      <c r="V616" s="83"/>
      <c r="W616" s="83"/>
      <c r="X616" s="83"/>
      <c r="Y616" s="83"/>
      <c r="Z616" s="83"/>
      <c r="AA616" s="83"/>
      <c r="AB616" s="83"/>
      <c r="AC616" s="83"/>
    </row>
    <row r="617" spans="2:29" x14ac:dyDescent="0.25">
      <c r="B617" s="83"/>
      <c r="C617" s="83"/>
      <c r="D617" s="83"/>
      <c r="E617" s="83"/>
      <c r="F617" s="83"/>
      <c r="G617" s="83"/>
      <c r="H617" s="83"/>
      <c r="I617" s="83"/>
      <c r="J617" s="83"/>
      <c r="K617" s="83"/>
      <c r="L617" s="83"/>
      <c r="M617" s="83"/>
      <c r="N617" s="83"/>
      <c r="O617" s="83"/>
      <c r="P617" s="83"/>
      <c r="Q617" s="83"/>
      <c r="R617" s="83"/>
      <c r="S617" s="83"/>
      <c r="T617" s="83"/>
      <c r="U617" s="83"/>
      <c r="V617" s="83"/>
      <c r="W617" s="83"/>
      <c r="X617" s="83"/>
      <c r="Y617" s="83"/>
      <c r="Z617" s="83"/>
      <c r="AA617" s="83"/>
      <c r="AB617" s="83"/>
      <c r="AC617" s="83"/>
    </row>
    <row r="618" spans="2:29" x14ac:dyDescent="0.25">
      <c r="B618" s="83"/>
      <c r="C618" s="83"/>
      <c r="D618" s="83"/>
      <c r="E618" s="83"/>
      <c r="F618" s="83"/>
      <c r="G618" s="83"/>
      <c r="H618" s="83"/>
      <c r="I618" s="83"/>
      <c r="J618" s="83"/>
      <c r="K618" s="83"/>
      <c r="L618" s="83"/>
      <c r="M618" s="83"/>
      <c r="N618" s="83"/>
      <c r="O618" s="83"/>
      <c r="P618" s="83"/>
      <c r="Q618" s="83"/>
      <c r="R618" s="83"/>
      <c r="S618" s="83"/>
      <c r="T618" s="83"/>
      <c r="U618" s="83"/>
      <c r="V618" s="83"/>
      <c r="W618" s="83"/>
      <c r="X618" s="83"/>
      <c r="Y618" s="83"/>
      <c r="Z618" s="83"/>
      <c r="AA618" s="83"/>
      <c r="AB618" s="83"/>
      <c r="AC618" s="83"/>
    </row>
    <row r="619" spans="2:29" x14ac:dyDescent="0.25">
      <c r="B619" s="83"/>
      <c r="C619" s="83"/>
      <c r="D619" s="83"/>
      <c r="E619" s="83"/>
      <c r="F619" s="83"/>
      <c r="G619" s="83"/>
      <c r="H619" s="83"/>
      <c r="I619" s="83"/>
      <c r="J619" s="83"/>
      <c r="K619" s="83"/>
      <c r="L619" s="83"/>
      <c r="M619" s="83"/>
      <c r="N619" s="83"/>
      <c r="O619" s="83"/>
      <c r="P619" s="83"/>
      <c r="Q619" s="83"/>
      <c r="R619" s="83"/>
      <c r="S619" s="83"/>
      <c r="T619" s="83"/>
      <c r="U619" s="83"/>
      <c r="V619" s="83"/>
      <c r="W619" s="83"/>
      <c r="X619" s="83"/>
      <c r="Y619" s="83"/>
      <c r="Z619" s="83"/>
      <c r="AA619" s="83"/>
      <c r="AB619" s="83"/>
      <c r="AC619" s="83"/>
    </row>
    <row r="620" spans="2:29" x14ac:dyDescent="0.25">
      <c r="B620" s="83"/>
      <c r="C620" s="83"/>
      <c r="D620" s="83"/>
      <c r="E620" s="83"/>
      <c r="F620" s="83"/>
      <c r="G620" s="83"/>
      <c r="H620" s="83"/>
      <c r="I620" s="83"/>
      <c r="J620" s="83"/>
      <c r="K620" s="83"/>
      <c r="L620" s="83"/>
      <c r="M620" s="83"/>
      <c r="N620" s="83"/>
      <c r="O620" s="83"/>
      <c r="P620" s="83"/>
      <c r="Q620" s="83"/>
      <c r="R620" s="83"/>
      <c r="S620" s="83"/>
      <c r="T620" s="83"/>
      <c r="U620" s="83"/>
      <c r="V620" s="83"/>
      <c r="W620" s="83"/>
      <c r="X620" s="83"/>
      <c r="Y620" s="83"/>
      <c r="Z620" s="83"/>
      <c r="AA620" s="83"/>
      <c r="AB620" s="83"/>
      <c r="AC620" s="83"/>
    </row>
    <row r="621" spans="2:29" x14ac:dyDescent="0.25">
      <c r="B621" s="83"/>
      <c r="C621" s="83"/>
      <c r="D621" s="83"/>
      <c r="E621" s="83"/>
      <c r="F621" s="83"/>
      <c r="G621" s="83"/>
      <c r="H621" s="83"/>
      <c r="I621" s="83"/>
      <c r="J621" s="83"/>
      <c r="K621" s="83"/>
      <c r="L621" s="83"/>
      <c r="M621" s="83"/>
      <c r="N621" s="83"/>
      <c r="O621" s="83"/>
      <c r="P621" s="83"/>
      <c r="Q621" s="83"/>
      <c r="R621" s="83"/>
      <c r="S621" s="83"/>
      <c r="T621" s="83"/>
      <c r="U621" s="83"/>
      <c r="V621" s="83"/>
      <c r="W621" s="83"/>
      <c r="X621" s="83"/>
      <c r="Y621" s="83"/>
      <c r="Z621" s="83"/>
      <c r="AA621" s="83"/>
      <c r="AB621" s="83"/>
      <c r="AC621" s="83"/>
    </row>
    <row r="622" spans="2:29" x14ac:dyDescent="0.25">
      <c r="B622" s="83"/>
      <c r="C622" s="83"/>
      <c r="D622" s="83"/>
      <c r="E622" s="83"/>
      <c r="F622" s="83"/>
      <c r="G622" s="83"/>
      <c r="H622" s="83"/>
      <c r="I622" s="83"/>
      <c r="J622" s="83"/>
      <c r="K622" s="83"/>
      <c r="L622" s="83"/>
      <c r="M622" s="83"/>
      <c r="N622" s="83"/>
      <c r="O622" s="83"/>
      <c r="P622" s="83"/>
      <c r="Q622" s="83"/>
      <c r="R622" s="83"/>
      <c r="S622" s="83"/>
      <c r="T622" s="83"/>
      <c r="U622" s="83"/>
      <c r="V622" s="83"/>
      <c r="W622" s="83"/>
      <c r="X622" s="83"/>
      <c r="Y622" s="83"/>
      <c r="Z622" s="83"/>
      <c r="AA622" s="83"/>
      <c r="AB622" s="83"/>
      <c r="AC622" s="83"/>
    </row>
    <row r="623" spans="2:29" x14ac:dyDescent="0.25">
      <c r="B623" s="83"/>
      <c r="C623" s="83"/>
      <c r="D623" s="83"/>
      <c r="E623" s="83"/>
      <c r="F623" s="83"/>
      <c r="G623" s="83"/>
      <c r="H623" s="83"/>
      <c r="I623" s="83"/>
      <c r="J623" s="83"/>
      <c r="K623" s="83"/>
      <c r="L623" s="83"/>
      <c r="M623" s="83"/>
      <c r="N623" s="83"/>
      <c r="O623" s="83"/>
      <c r="P623" s="83"/>
      <c r="Q623" s="83"/>
      <c r="R623" s="83"/>
      <c r="S623" s="83"/>
      <c r="T623" s="83"/>
      <c r="U623" s="83"/>
      <c r="V623" s="83"/>
      <c r="W623" s="83"/>
      <c r="X623" s="83"/>
      <c r="Y623" s="83"/>
      <c r="Z623" s="83"/>
      <c r="AA623" s="83"/>
      <c r="AB623" s="83"/>
      <c r="AC623" s="83"/>
    </row>
    <row r="624" spans="2:29" x14ac:dyDescent="0.25">
      <c r="B624" s="83"/>
      <c r="C624" s="83"/>
      <c r="D624" s="83"/>
      <c r="E624" s="83"/>
      <c r="F624" s="83"/>
      <c r="G624" s="83"/>
      <c r="H624" s="83"/>
      <c r="I624" s="83"/>
      <c r="J624" s="83"/>
      <c r="K624" s="83"/>
      <c r="L624" s="83"/>
      <c r="M624" s="83"/>
      <c r="N624" s="83"/>
      <c r="O624" s="83"/>
      <c r="P624" s="83"/>
      <c r="Q624" s="83"/>
      <c r="R624" s="83"/>
      <c r="S624" s="83"/>
      <c r="T624" s="83"/>
      <c r="U624" s="83"/>
      <c r="V624" s="83"/>
      <c r="W624" s="83"/>
      <c r="X624" s="83"/>
      <c r="Y624" s="83"/>
      <c r="Z624" s="83"/>
      <c r="AA624" s="83"/>
      <c r="AB624" s="83"/>
      <c r="AC624" s="83"/>
    </row>
    <row r="625" spans="2:29" x14ac:dyDescent="0.25">
      <c r="B625" s="83"/>
      <c r="C625" s="83"/>
      <c r="D625" s="83"/>
      <c r="E625" s="83"/>
      <c r="F625" s="83"/>
      <c r="G625" s="83"/>
      <c r="H625" s="83"/>
      <c r="I625" s="83"/>
      <c r="J625" s="83"/>
      <c r="K625" s="83"/>
      <c r="L625" s="83"/>
      <c r="M625" s="83"/>
      <c r="N625" s="83"/>
      <c r="O625" s="83"/>
      <c r="P625" s="83"/>
      <c r="Q625" s="83"/>
      <c r="R625" s="83"/>
      <c r="S625" s="83"/>
      <c r="T625" s="83"/>
      <c r="U625" s="83"/>
      <c r="V625" s="83"/>
      <c r="W625" s="83"/>
      <c r="X625" s="83"/>
      <c r="Y625" s="83"/>
      <c r="Z625" s="83"/>
      <c r="AA625" s="83"/>
      <c r="AB625" s="83"/>
      <c r="AC625" s="83"/>
    </row>
    <row r="626" spans="2:29" x14ac:dyDescent="0.25">
      <c r="B626" s="83"/>
      <c r="C626" s="83"/>
      <c r="D626" s="83"/>
      <c r="E626" s="83"/>
      <c r="F626" s="83"/>
      <c r="G626" s="83"/>
      <c r="H626" s="83"/>
      <c r="I626" s="83"/>
      <c r="J626" s="83"/>
      <c r="K626" s="83"/>
      <c r="L626" s="83"/>
      <c r="M626" s="83"/>
      <c r="N626" s="83"/>
      <c r="O626" s="83"/>
      <c r="P626" s="83"/>
      <c r="Q626" s="83"/>
      <c r="R626" s="83"/>
      <c r="S626" s="83"/>
      <c r="T626" s="83"/>
      <c r="U626" s="83"/>
      <c r="V626" s="83"/>
      <c r="W626" s="83"/>
      <c r="X626" s="83"/>
      <c r="Y626" s="83"/>
      <c r="Z626" s="83"/>
      <c r="AA626" s="83"/>
      <c r="AB626" s="83"/>
      <c r="AC626" s="83"/>
    </row>
    <row r="627" spans="2:29" x14ac:dyDescent="0.25">
      <c r="B627" s="83"/>
      <c r="C627" s="83"/>
      <c r="D627" s="83"/>
      <c r="E627" s="83"/>
      <c r="F627" s="83"/>
      <c r="G627" s="83"/>
      <c r="H627" s="83"/>
      <c r="I627" s="83"/>
      <c r="J627" s="83"/>
      <c r="K627" s="83"/>
      <c r="L627" s="83"/>
      <c r="M627" s="83"/>
      <c r="N627" s="83"/>
      <c r="O627" s="83"/>
      <c r="P627" s="83"/>
      <c r="Q627" s="83"/>
      <c r="R627" s="83"/>
      <c r="S627" s="83"/>
      <c r="T627" s="83"/>
      <c r="U627" s="83"/>
      <c r="V627" s="83"/>
      <c r="W627" s="83"/>
      <c r="X627" s="83"/>
      <c r="Y627" s="83"/>
      <c r="Z627" s="83"/>
      <c r="AA627" s="83"/>
      <c r="AB627" s="83"/>
      <c r="AC627" s="83"/>
    </row>
    <row r="628" spans="2:29" x14ac:dyDescent="0.25">
      <c r="B628" s="83"/>
      <c r="C628" s="83"/>
      <c r="D628" s="83"/>
      <c r="E628" s="83"/>
      <c r="F628" s="83"/>
      <c r="G628" s="83"/>
      <c r="H628" s="83"/>
      <c r="I628" s="83"/>
      <c r="J628" s="83"/>
      <c r="K628" s="83"/>
      <c r="L628" s="83"/>
      <c r="M628" s="83"/>
      <c r="N628" s="83"/>
      <c r="O628" s="83"/>
      <c r="P628" s="83"/>
      <c r="Q628" s="83"/>
      <c r="R628" s="83"/>
      <c r="S628" s="83"/>
      <c r="T628" s="83"/>
      <c r="U628" s="83"/>
      <c r="V628" s="83"/>
      <c r="W628" s="83"/>
      <c r="X628" s="83"/>
      <c r="Y628" s="83"/>
      <c r="Z628" s="83"/>
      <c r="AA628" s="83"/>
      <c r="AB628" s="83"/>
      <c r="AC628" s="83"/>
    </row>
    <row r="629" spans="2:29" x14ac:dyDescent="0.25">
      <c r="B629" s="83"/>
      <c r="C629" s="83"/>
      <c r="D629" s="83"/>
      <c r="E629" s="83"/>
      <c r="F629" s="83"/>
      <c r="G629" s="83"/>
      <c r="H629" s="83"/>
      <c r="I629" s="83"/>
      <c r="J629" s="83"/>
      <c r="K629" s="83"/>
      <c r="L629" s="83"/>
      <c r="M629" s="83"/>
      <c r="N629" s="83"/>
      <c r="O629" s="83"/>
      <c r="P629" s="83"/>
      <c r="Q629" s="83"/>
      <c r="R629" s="83"/>
      <c r="S629" s="83"/>
      <c r="T629" s="83"/>
      <c r="U629" s="83"/>
      <c r="V629" s="83"/>
      <c r="W629" s="83"/>
      <c r="X629" s="83"/>
      <c r="Y629" s="83"/>
      <c r="Z629" s="83"/>
      <c r="AA629" s="83"/>
      <c r="AB629" s="83"/>
      <c r="AC629" s="83"/>
    </row>
    <row r="630" spans="2:29" x14ac:dyDescent="0.25">
      <c r="B630" s="83"/>
      <c r="C630" s="83"/>
      <c r="D630" s="83"/>
      <c r="E630" s="83"/>
      <c r="F630" s="83"/>
      <c r="G630" s="83"/>
      <c r="H630" s="83"/>
      <c r="I630" s="83"/>
      <c r="J630" s="83"/>
      <c r="K630" s="83"/>
      <c r="L630" s="83"/>
      <c r="M630" s="83"/>
      <c r="N630" s="83"/>
      <c r="O630" s="83"/>
      <c r="P630" s="83"/>
      <c r="Q630" s="83"/>
      <c r="R630" s="83"/>
      <c r="S630" s="83"/>
      <c r="T630" s="83"/>
      <c r="U630" s="83"/>
      <c r="V630" s="83"/>
      <c r="W630" s="83"/>
      <c r="X630" s="83"/>
      <c r="Y630" s="83"/>
      <c r="Z630" s="83"/>
      <c r="AA630" s="83"/>
      <c r="AB630" s="83"/>
      <c r="AC630" s="83"/>
    </row>
    <row r="631" spans="2:29" x14ac:dyDescent="0.25">
      <c r="B631" s="83"/>
      <c r="C631" s="83"/>
      <c r="D631" s="83"/>
      <c r="E631" s="83"/>
      <c r="F631" s="83"/>
      <c r="G631" s="83"/>
      <c r="H631" s="83"/>
      <c r="I631" s="83"/>
      <c r="J631" s="83"/>
      <c r="K631" s="83"/>
      <c r="L631" s="83"/>
      <c r="M631" s="83"/>
      <c r="N631" s="83"/>
      <c r="O631" s="83"/>
      <c r="P631" s="83"/>
      <c r="Q631" s="83"/>
      <c r="R631" s="83"/>
      <c r="S631" s="83"/>
      <c r="T631" s="83"/>
      <c r="U631" s="83"/>
      <c r="V631" s="83"/>
      <c r="W631" s="83"/>
      <c r="X631" s="83"/>
      <c r="Y631" s="83"/>
      <c r="Z631" s="83"/>
      <c r="AA631" s="83"/>
      <c r="AB631" s="83"/>
      <c r="AC631" s="83"/>
    </row>
    <row r="632" spans="2:29" x14ac:dyDescent="0.25">
      <c r="B632" s="83"/>
      <c r="C632" s="83"/>
      <c r="D632" s="83"/>
      <c r="E632" s="83"/>
      <c r="F632" s="83"/>
      <c r="G632" s="83"/>
      <c r="H632" s="83"/>
      <c r="I632" s="83"/>
      <c r="J632" s="83"/>
      <c r="K632" s="83"/>
      <c r="L632" s="83"/>
      <c r="M632" s="83"/>
      <c r="N632" s="83"/>
      <c r="O632" s="83"/>
      <c r="P632" s="83"/>
      <c r="Q632" s="83"/>
      <c r="R632" s="83"/>
      <c r="S632" s="83"/>
      <c r="T632" s="83"/>
      <c r="U632" s="83"/>
      <c r="V632" s="83"/>
      <c r="W632" s="83"/>
      <c r="X632" s="83"/>
      <c r="Y632" s="83"/>
      <c r="Z632" s="83"/>
      <c r="AA632" s="83"/>
      <c r="AB632" s="83"/>
      <c r="AC632" s="83"/>
    </row>
    <row r="633" spans="2:29" x14ac:dyDescent="0.25">
      <c r="B633" s="83"/>
      <c r="C633" s="83"/>
      <c r="D633" s="83"/>
      <c r="E633" s="83"/>
      <c r="F633" s="83"/>
      <c r="G633" s="83"/>
      <c r="H633" s="83"/>
      <c r="I633" s="83"/>
      <c r="J633" s="83"/>
      <c r="K633" s="83"/>
      <c r="L633" s="83"/>
      <c r="M633" s="83"/>
      <c r="N633" s="83"/>
      <c r="O633" s="83"/>
      <c r="P633" s="83"/>
      <c r="Q633" s="83"/>
      <c r="R633" s="83"/>
      <c r="S633" s="83"/>
      <c r="T633" s="83"/>
      <c r="U633" s="83"/>
      <c r="V633" s="83"/>
      <c r="W633" s="83"/>
      <c r="X633" s="83"/>
      <c r="Y633" s="83"/>
      <c r="Z633" s="83"/>
      <c r="AA633" s="83"/>
      <c r="AB633" s="83"/>
      <c r="AC633" s="83"/>
    </row>
    <row r="634" spans="2:29" x14ac:dyDescent="0.25">
      <c r="B634" s="83"/>
      <c r="C634" s="83"/>
      <c r="D634" s="83"/>
      <c r="E634" s="83"/>
      <c r="F634" s="83"/>
      <c r="G634" s="83"/>
      <c r="H634" s="83"/>
      <c r="I634" s="83"/>
      <c r="J634" s="83"/>
      <c r="K634" s="83"/>
      <c r="L634" s="83"/>
      <c r="M634" s="83"/>
      <c r="N634" s="83"/>
      <c r="O634" s="83"/>
      <c r="P634" s="83"/>
      <c r="Q634" s="83"/>
      <c r="R634" s="83"/>
      <c r="S634" s="83"/>
      <c r="T634" s="83"/>
      <c r="U634" s="83"/>
      <c r="V634" s="83"/>
      <c r="W634" s="83"/>
      <c r="X634" s="83"/>
      <c r="Y634" s="83"/>
      <c r="Z634" s="83"/>
      <c r="AA634" s="83"/>
      <c r="AB634" s="83"/>
      <c r="AC634" s="83"/>
    </row>
    <row r="635" spans="2:29" x14ac:dyDescent="0.25">
      <c r="B635" s="83"/>
      <c r="C635" s="83"/>
      <c r="D635" s="83"/>
      <c r="E635" s="83"/>
      <c r="F635" s="83"/>
      <c r="G635" s="83"/>
      <c r="H635" s="83"/>
      <c r="I635" s="83"/>
      <c r="J635" s="83"/>
      <c r="K635" s="83"/>
      <c r="L635" s="83"/>
      <c r="M635" s="83"/>
      <c r="N635" s="83"/>
      <c r="O635" s="83"/>
      <c r="P635" s="83"/>
      <c r="Q635" s="83"/>
      <c r="R635" s="83"/>
      <c r="S635" s="83"/>
      <c r="T635" s="83"/>
      <c r="U635" s="83"/>
      <c r="V635" s="83"/>
      <c r="W635" s="83"/>
      <c r="X635" s="83"/>
      <c r="Y635" s="83"/>
      <c r="Z635" s="83"/>
      <c r="AA635" s="83"/>
      <c r="AB635" s="83"/>
      <c r="AC635" s="83"/>
    </row>
    <row r="636" spans="2:29" x14ac:dyDescent="0.25">
      <c r="B636" s="83"/>
      <c r="C636" s="83"/>
      <c r="D636" s="83"/>
      <c r="E636" s="83"/>
      <c r="F636" s="83"/>
      <c r="G636" s="83"/>
      <c r="H636" s="83"/>
      <c r="I636" s="83"/>
      <c r="J636" s="83"/>
      <c r="K636" s="83"/>
      <c r="L636" s="83"/>
      <c r="M636" s="83"/>
      <c r="N636" s="83"/>
      <c r="O636" s="83"/>
      <c r="P636" s="83"/>
      <c r="Q636" s="83"/>
      <c r="R636" s="83"/>
      <c r="S636" s="83"/>
      <c r="T636" s="83"/>
      <c r="U636" s="83"/>
      <c r="V636" s="83"/>
      <c r="W636" s="83"/>
      <c r="X636" s="83"/>
      <c r="Y636" s="83"/>
      <c r="Z636" s="83"/>
      <c r="AA636" s="83"/>
      <c r="AB636" s="83"/>
      <c r="AC636" s="83"/>
    </row>
    <row r="637" spans="2:29" x14ac:dyDescent="0.25">
      <c r="B637" s="83"/>
      <c r="C637" s="83"/>
      <c r="D637" s="83"/>
      <c r="E637" s="83"/>
      <c r="F637" s="83"/>
      <c r="G637" s="83"/>
      <c r="H637" s="83"/>
      <c r="I637" s="83"/>
      <c r="J637" s="83"/>
      <c r="K637" s="83"/>
      <c r="L637" s="83"/>
      <c r="M637" s="83"/>
      <c r="N637" s="83"/>
      <c r="O637" s="83"/>
      <c r="P637" s="83"/>
      <c r="Q637" s="83"/>
      <c r="R637" s="83"/>
      <c r="S637" s="83"/>
      <c r="T637" s="83"/>
      <c r="U637" s="83"/>
      <c r="V637" s="83"/>
      <c r="W637" s="83"/>
      <c r="X637" s="83"/>
      <c r="Y637" s="83"/>
      <c r="Z637" s="83"/>
      <c r="AA637" s="83"/>
      <c r="AB637" s="83"/>
      <c r="AC637" s="83"/>
    </row>
    <row r="638" spans="2:29" x14ac:dyDescent="0.25">
      <c r="B638" s="83"/>
      <c r="C638" s="83"/>
      <c r="D638" s="83"/>
      <c r="E638" s="83"/>
      <c r="F638" s="83"/>
      <c r="G638" s="83"/>
      <c r="H638" s="83"/>
      <c r="I638" s="83"/>
      <c r="J638" s="83"/>
      <c r="K638" s="83"/>
      <c r="L638" s="83"/>
      <c r="M638" s="83"/>
      <c r="N638" s="83"/>
      <c r="O638" s="83"/>
      <c r="P638" s="83"/>
      <c r="Q638" s="83"/>
      <c r="R638" s="83"/>
      <c r="S638" s="83"/>
      <c r="T638" s="83"/>
      <c r="U638" s="83"/>
      <c r="V638" s="83"/>
      <c r="W638" s="83"/>
      <c r="X638" s="83"/>
      <c r="Y638" s="83"/>
      <c r="Z638" s="83"/>
      <c r="AA638" s="83"/>
      <c r="AB638" s="83"/>
      <c r="AC638" s="83"/>
    </row>
    <row r="639" spans="2:29" x14ac:dyDescent="0.25">
      <c r="B639" s="83"/>
      <c r="C639" s="83"/>
      <c r="D639" s="83"/>
      <c r="E639" s="83"/>
      <c r="F639" s="83"/>
      <c r="G639" s="83"/>
      <c r="H639" s="83"/>
      <c r="I639" s="83"/>
      <c r="J639" s="83"/>
      <c r="K639" s="83"/>
      <c r="L639" s="83"/>
      <c r="M639" s="83"/>
      <c r="N639" s="83"/>
      <c r="O639" s="83"/>
      <c r="P639" s="83"/>
      <c r="Q639" s="83"/>
      <c r="R639" s="83"/>
      <c r="S639" s="83"/>
      <c r="T639" s="83"/>
      <c r="U639" s="83"/>
      <c r="V639" s="83"/>
      <c r="W639" s="83"/>
      <c r="X639" s="83"/>
      <c r="Y639" s="83"/>
      <c r="Z639" s="83"/>
      <c r="AA639" s="83"/>
      <c r="AB639" s="83"/>
      <c r="AC639" s="83"/>
    </row>
    <row r="640" spans="2:29" x14ac:dyDescent="0.25">
      <c r="B640" s="83"/>
      <c r="C640" s="83"/>
      <c r="D640" s="83"/>
      <c r="E640" s="83"/>
      <c r="F640" s="83"/>
      <c r="G640" s="83"/>
      <c r="H640" s="83"/>
      <c r="I640" s="83"/>
      <c r="J640" s="83"/>
      <c r="K640" s="83"/>
      <c r="L640" s="83"/>
      <c r="M640" s="83"/>
      <c r="N640" s="83"/>
      <c r="O640" s="83"/>
      <c r="P640" s="83"/>
      <c r="Q640" s="83"/>
      <c r="R640" s="83"/>
      <c r="S640" s="83"/>
      <c r="T640" s="83"/>
      <c r="U640" s="83"/>
      <c r="V640" s="83"/>
      <c r="W640" s="83"/>
      <c r="X640" s="83"/>
      <c r="Y640" s="83"/>
      <c r="Z640" s="83"/>
      <c r="AA640" s="83"/>
      <c r="AB640" s="83"/>
      <c r="AC640" s="83"/>
    </row>
    <row r="641" spans="2:29" x14ac:dyDescent="0.25">
      <c r="B641" s="83"/>
      <c r="C641" s="83"/>
      <c r="D641" s="83"/>
      <c r="E641" s="83"/>
      <c r="F641" s="83"/>
      <c r="G641" s="83"/>
      <c r="H641" s="83"/>
      <c r="I641" s="83"/>
      <c r="J641" s="83"/>
      <c r="K641" s="83"/>
      <c r="L641" s="83"/>
      <c r="M641" s="83"/>
      <c r="N641" s="83"/>
      <c r="O641" s="83"/>
      <c r="P641" s="83"/>
      <c r="Q641" s="83"/>
      <c r="R641" s="83"/>
      <c r="S641" s="83"/>
      <c r="T641" s="83"/>
      <c r="U641" s="83"/>
      <c r="V641" s="83"/>
      <c r="W641" s="83"/>
      <c r="X641" s="83"/>
      <c r="Y641" s="83"/>
      <c r="Z641" s="83"/>
      <c r="AA641" s="83"/>
      <c r="AB641" s="83"/>
      <c r="AC641" s="83"/>
    </row>
    <row r="642" spans="2:29" x14ac:dyDescent="0.25">
      <c r="B642" s="83"/>
      <c r="C642" s="83"/>
      <c r="D642" s="83"/>
      <c r="E642" s="83"/>
      <c r="F642" s="83"/>
      <c r="G642" s="83"/>
      <c r="H642" s="83"/>
      <c r="I642" s="83"/>
      <c r="J642" s="83"/>
      <c r="K642" s="83"/>
      <c r="L642" s="83"/>
      <c r="M642" s="83"/>
      <c r="N642" s="83"/>
      <c r="O642" s="83"/>
      <c r="P642" s="83"/>
      <c r="Q642" s="83"/>
      <c r="R642" s="83"/>
      <c r="S642" s="83"/>
      <c r="T642" s="83"/>
      <c r="U642" s="83"/>
      <c r="V642" s="83"/>
      <c r="W642" s="83"/>
      <c r="X642" s="83"/>
      <c r="Y642" s="83"/>
      <c r="Z642" s="83"/>
      <c r="AA642" s="83"/>
      <c r="AB642" s="83"/>
      <c r="AC642" s="83"/>
    </row>
    <row r="643" spans="2:29" x14ac:dyDescent="0.25">
      <c r="B643" s="83"/>
      <c r="C643" s="83"/>
      <c r="D643" s="83"/>
      <c r="E643" s="83"/>
      <c r="F643" s="83"/>
      <c r="G643" s="83"/>
      <c r="H643" s="83"/>
      <c r="I643" s="83"/>
      <c r="J643" s="83"/>
      <c r="K643" s="83"/>
      <c r="L643" s="83"/>
      <c r="M643" s="83"/>
      <c r="N643" s="83"/>
      <c r="O643" s="83"/>
      <c r="P643" s="83"/>
      <c r="Q643" s="83"/>
      <c r="R643" s="83"/>
      <c r="S643" s="83"/>
      <c r="T643" s="83"/>
      <c r="U643" s="83"/>
      <c r="V643" s="83"/>
      <c r="W643" s="83"/>
      <c r="X643" s="83"/>
      <c r="Y643" s="83"/>
      <c r="Z643" s="83"/>
      <c r="AA643" s="83"/>
      <c r="AB643" s="83"/>
      <c r="AC643" s="83"/>
    </row>
    <row r="644" spans="2:29" x14ac:dyDescent="0.25">
      <c r="B644" s="83"/>
      <c r="C644" s="83"/>
      <c r="D644" s="83"/>
      <c r="E644" s="83"/>
      <c r="F644" s="83"/>
      <c r="G644" s="83"/>
      <c r="H644" s="83"/>
      <c r="I644" s="83"/>
      <c r="J644" s="83"/>
      <c r="K644" s="83"/>
      <c r="L644" s="83"/>
      <c r="M644" s="83"/>
      <c r="N644" s="83"/>
      <c r="O644" s="83"/>
      <c r="P644" s="83"/>
      <c r="Q644" s="83"/>
      <c r="R644" s="83"/>
      <c r="S644" s="83"/>
      <c r="T644" s="83"/>
      <c r="U644" s="83"/>
      <c r="V644" s="83"/>
      <c r="W644" s="83"/>
      <c r="X644" s="83"/>
      <c r="Y644" s="83"/>
      <c r="Z644" s="83"/>
      <c r="AA644" s="83"/>
      <c r="AB644" s="83"/>
      <c r="AC644" s="83"/>
    </row>
    <row r="645" spans="2:29" x14ac:dyDescent="0.25">
      <c r="B645" s="83"/>
      <c r="C645" s="83"/>
      <c r="D645" s="83"/>
      <c r="E645" s="83"/>
      <c r="F645" s="83"/>
      <c r="G645" s="83"/>
      <c r="H645" s="83"/>
      <c r="I645" s="83"/>
      <c r="J645" s="83"/>
      <c r="K645" s="83"/>
      <c r="L645" s="83"/>
      <c r="M645" s="83"/>
      <c r="N645" s="83"/>
      <c r="O645" s="83"/>
      <c r="P645" s="83"/>
      <c r="Q645" s="83"/>
      <c r="R645" s="83"/>
      <c r="S645" s="83"/>
      <c r="T645" s="83"/>
      <c r="U645" s="83"/>
      <c r="V645" s="83"/>
      <c r="W645" s="83"/>
      <c r="X645" s="83"/>
      <c r="Y645" s="83"/>
      <c r="Z645" s="83"/>
      <c r="AA645" s="83"/>
      <c r="AB645" s="83"/>
      <c r="AC645" s="83"/>
    </row>
    <row r="646" spans="2:29" x14ac:dyDescent="0.25">
      <c r="B646" s="83"/>
      <c r="C646" s="83"/>
      <c r="D646" s="83"/>
      <c r="E646" s="83"/>
      <c r="F646" s="83"/>
      <c r="G646" s="83"/>
      <c r="H646" s="83"/>
      <c r="I646" s="83"/>
      <c r="J646" s="83"/>
      <c r="K646" s="83"/>
      <c r="L646" s="83"/>
      <c r="M646" s="83"/>
      <c r="N646" s="83"/>
      <c r="O646" s="83"/>
      <c r="P646" s="83"/>
      <c r="Q646" s="83"/>
      <c r="R646" s="83"/>
      <c r="S646" s="83"/>
      <c r="T646" s="83"/>
      <c r="U646" s="83"/>
      <c r="V646" s="83"/>
      <c r="W646" s="83"/>
      <c r="X646" s="83"/>
      <c r="Y646" s="83"/>
      <c r="Z646" s="83"/>
      <c r="AA646" s="83"/>
      <c r="AB646" s="83"/>
      <c r="AC646" s="83"/>
    </row>
    <row r="647" spans="2:29" x14ac:dyDescent="0.25">
      <c r="B647" s="83"/>
      <c r="C647" s="83"/>
      <c r="D647" s="83"/>
      <c r="E647" s="83"/>
      <c r="F647" s="83"/>
      <c r="G647" s="83"/>
      <c r="H647" s="83"/>
      <c r="I647" s="83"/>
      <c r="J647" s="83"/>
      <c r="K647" s="83"/>
      <c r="L647" s="83"/>
      <c r="M647" s="83"/>
      <c r="N647" s="83"/>
      <c r="O647" s="83"/>
      <c r="P647" s="83"/>
      <c r="Q647" s="83"/>
      <c r="R647" s="83"/>
      <c r="S647" s="83"/>
      <c r="T647" s="83"/>
      <c r="U647" s="83"/>
      <c r="V647" s="83"/>
      <c r="W647" s="83"/>
      <c r="X647" s="83"/>
      <c r="Y647" s="83"/>
      <c r="Z647" s="83"/>
      <c r="AA647" s="83"/>
      <c r="AB647" s="83"/>
      <c r="AC647" s="83"/>
    </row>
    <row r="648" spans="2:29" x14ac:dyDescent="0.25">
      <c r="B648" s="83"/>
      <c r="C648" s="83"/>
      <c r="D648" s="83"/>
      <c r="E648" s="83"/>
      <c r="F648" s="83"/>
      <c r="G648" s="83"/>
      <c r="H648" s="83"/>
      <c r="I648" s="83"/>
      <c r="J648" s="83"/>
      <c r="K648" s="83"/>
      <c r="L648" s="83"/>
      <c r="M648" s="83"/>
      <c r="N648" s="83"/>
      <c r="O648" s="83"/>
      <c r="P648" s="83"/>
      <c r="Q648" s="83"/>
      <c r="R648" s="83"/>
      <c r="S648" s="83"/>
      <c r="T648" s="83"/>
      <c r="U648" s="83"/>
      <c r="V648" s="83"/>
      <c r="W648" s="83"/>
      <c r="X648" s="83"/>
      <c r="Y648" s="83"/>
      <c r="Z648" s="83"/>
      <c r="AA648" s="83"/>
      <c r="AB648" s="83"/>
      <c r="AC648" s="83"/>
    </row>
    <row r="649" spans="2:29" x14ac:dyDescent="0.25">
      <c r="B649" s="83"/>
      <c r="C649" s="83"/>
      <c r="D649" s="83"/>
      <c r="E649" s="83"/>
      <c r="F649" s="83"/>
      <c r="G649" s="83"/>
      <c r="H649" s="83"/>
      <c r="I649" s="83"/>
      <c r="J649" s="83"/>
      <c r="K649" s="83"/>
      <c r="L649" s="83"/>
      <c r="M649" s="83"/>
      <c r="N649" s="83"/>
      <c r="O649" s="83"/>
      <c r="P649" s="83"/>
      <c r="Q649" s="83"/>
      <c r="R649" s="83"/>
      <c r="S649" s="83"/>
      <c r="T649" s="83"/>
      <c r="U649" s="83"/>
      <c r="V649" s="83"/>
      <c r="W649" s="83"/>
      <c r="X649" s="83"/>
      <c r="Y649" s="83"/>
      <c r="Z649" s="83"/>
      <c r="AA649" s="83"/>
      <c r="AB649" s="83"/>
      <c r="AC649" s="83"/>
    </row>
    <row r="650" spans="2:29" x14ac:dyDescent="0.25">
      <c r="B650" s="83"/>
      <c r="C650" s="83"/>
      <c r="D650" s="83"/>
      <c r="E650" s="83"/>
      <c r="F650" s="83"/>
      <c r="G650" s="83"/>
      <c r="H650" s="83"/>
      <c r="I650" s="83"/>
      <c r="J650" s="83"/>
      <c r="K650" s="83"/>
      <c r="L650" s="83"/>
      <c r="M650" s="83"/>
      <c r="N650" s="83"/>
      <c r="O650" s="83"/>
      <c r="P650" s="83"/>
      <c r="Q650" s="83"/>
      <c r="R650" s="83"/>
      <c r="S650" s="83"/>
      <c r="T650" s="83"/>
      <c r="U650" s="83"/>
      <c r="V650" s="83"/>
      <c r="W650" s="83"/>
      <c r="X650" s="83"/>
      <c r="Y650" s="83"/>
      <c r="Z650" s="83"/>
      <c r="AA650" s="83"/>
      <c r="AB650" s="83"/>
      <c r="AC650" s="83"/>
    </row>
    <row r="651" spans="2:29" x14ac:dyDescent="0.25">
      <c r="B651" s="83"/>
      <c r="C651" s="83"/>
      <c r="D651" s="83"/>
      <c r="E651" s="83"/>
      <c r="F651" s="83"/>
      <c r="G651" s="83"/>
      <c r="H651" s="83"/>
      <c r="I651" s="83"/>
      <c r="J651" s="83"/>
      <c r="K651" s="83"/>
      <c r="L651" s="83"/>
      <c r="M651" s="83"/>
      <c r="N651" s="83"/>
      <c r="O651" s="83"/>
      <c r="P651" s="83"/>
      <c r="Q651" s="83"/>
      <c r="R651" s="83"/>
      <c r="S651" s="83"/>
      <c r="T651" s="83"/>
      <c r="U651" s="83"/>
      <c r="V651" s="83"/>
      <c r="W651" s="83"/>
      <c r="X651" s="83"/>
      <c r="Y651" s="83"/>
      <c r="Z651" s="83"/>
      <c r="AA651" s="83"/>
      <c r="AB651" s="83"/>
      <c r="AC651" s="83"/>
    </row>
    <row r="652" spans="2:29" x14ac:dyDescent="0.25">
      <c r="B652" s="83"/>
      <c r="C652" s="83"/>
      <c r="D652" s="83"/>
      <c r="E652" s="83"/>
      <c r="F652" s="83"/>
      <c r="G652" s="83"/>
      <c r="H652" s="83"/>
      <c r="I652" s="83"/>
      <c r="J652" s="83"/>
      <c r="K652" s="83"/>
      <c r="L652" s="83"/>
      <c r="M652" s="83"/>
      <c r="N652" s="83"/>
      <c r="O652" s="83"/>
      <c r="P652" s="83"/>
      <c r="Q652" s="83"/>
      <c r="R652" s="83"/>
      <c r="S652" s="83"/>
      <c r="T652" s="83"/>
      <c r="U652" s="83"/>
      <c r="V652" s="83"/>
      <c r="W652" s="83"/>
      <c r="X652" s="83"/>
      <c r="Y652" s="83"/>
      <c r="Z652" s="83"/>
      <c r="AA652" s="83"/>
      <c r="AB652" s="83"/>
      <c r="AC652" s="83"/>
    </row>
    <row r="653" spans="2:29" x14ac:dyDescent="0.25">
      <c r="B653" s="83"/>
      <c r="C653" s="83"/>
      <c r="D653" s="83"/>
      <c r="E653" s="83"/>
      <c r="F653" s="83"/>
      <c r="G653" s="83"/>
      <c r="H653" s="83"/>
      <c r="I653" s="83"/>
      <c r="J653" s="83"/>
      <c r="K653" s="83"/>
      <c r="L653" s="83"/>
      <c r="M653" s="83"/>
      <c r="N653" s="83"/>
      <c r="O653" s="83"/>
      <c r="P653" s="83"/>
      <c r="Q653" s="83"/>
      <c r="R653" s="83"/>
      <c r="S653" s="83"/>
      <c r="T653" s="83"/>
      <c r="U653" s="83"/>
      <c r="V653" s="83"/>
      <c r="W653" s="83"/>
      <c r="X653" s="83"/>
      <c r="Y653" s="83"/>
      <c r="Z653" s="83"/>
      <c r="AA653" s="83"/>
      <c r="AB653" s="83"/>
      <c r="AC653" s="83"/>
    </row>
    <row r="654" spans="2:29" x14ac:dyDescent="0.25">
      <c r="B654" s="83"/>
      <c r="C654" s="83"/>
      <c r="D654" s="83"/>
      <c r="E654" s="83"/>
      <c r="F654" s="83"/>
      <c r="G654" s="83"/>
      <c r="H654" s="83"/>
      <c r="I654" s="83"/>
      <c r="J654" s="83"/>
      <c r="K654" s="83"/>
      <c r="L654" s="83"/>
      <c r="M654" s="83"/>
      <c r="N654" s="83"/>
      <c r="O654" s="83"/>
      <c r="P654" s="83"/>
      <c r="Q654" s="83"/>
      <c r="R654" s="83"/>
      <c r="S654" s="83"/>
      <c r="T654" s="83"/>
      <c r="U654" s="83"/>
      <c r="V654" s="83"/>
      <c r="W654" s="83"/>
      <c r="X654" s="83"/>
      <c r="Y654" s="83"/>
      <c r="Z654" s="83"/>
      <c r="AA654" s="83"/>
      <c r="AB654" s="83"/>
      <c r="AC654" s="83"/>
    </row>
    <row r="655" spans="2:29" x14ac:dyDescent="0.25">
      <c r="B655" s="83"/>
      <c r="C655" s="83"/>
      <c r="D655" s="83"/>
      <c r="E655" s="83"/>
      <c r="F655" s="83"/>
      <c r="G655" s="83"/>
      <c r="H655" s="83"/>
      <c r="I655" s="83"/>
      <c r="J655" s="83"/>
      <c r="K655" s="83"/>
      <c r="L655" s="83"/>
      <c r="M655" s="83"/>
      <c r="N655" s="83"/>
      <c r="O655" s="83"/>
      <c r="P655" s="83"/>
      <c r="Q655" s="83"/>
      <c r="R655" s="83"/>
      <c r="S655" s="83"/>
      <c r="T655" s="83"/>
      <c r="U655" s="83"/>
      <c r="V655" s="83"/>
      <c r="W655" s="83"/>
      <c r="X655" s="83"/>
      <c r="Y655" s="83"/>
      <c r="Z655" s="83"/>
      <c r="AA655" s="83"/>
      <c r="AB655" s="83"/>
      <c r="AC655" s="83"/>
    </row>
    <row r="656" spans="2:29" x14ac:dyDescent="0.25">
      <c r="B656" s="83"/>
      <c r="C656" s="83"/>
      <c r="D656" s="83"/>
      <c r="E656" s="83"/>
      <c r="F656" s="83"/>
      <c r="G656" s="83"/>
      <c r="H656" s="83"/>
      <c r="I656" s="83"/>
      <c r="J656" s="83"/>
      <c r="K656" s="83"/>
      <c r="L656" s="83"/>
      <c r="M656" s="83"/>
      <c r="N656" s="83"/>
      <c r="O656" s="83"/>
      <c r="P656" s="83"/>
      <c r="Q656" s="83"/>
      <c r="R656" s="83"/>
      <c r="S656" s="83"/>
      <c r="T656" s="83"/>
      <c r="U656" s="83"/>
      <c r="V656" s="83"/>
      <c r="W656" s="83"/>
      <c r="X656" s="83"/>
      <c r="Y656" s="83"/>
      <c r="Z656" s="83"/>
      <c r="AA656" s="83"/>
      <c r="AB656" s="83"/>
      <c r="AC656" s="83"/>
    </row>
    <row r="657" spans="2:29" x14ac:dyDescent="0.25">
      <c r="B657" s="83"/>
      <c r="C657" s="83"/>
      <c r="D657" s="83"/>
      <c r="E657" s="83"/>
      <c r="F657" s="83"/>
      <c r="G657" s="83"/>
      <c r="H657" s="83"/>
      <c r="I657" s="83"/>
      <c r="J657" s="83"/>
      <c r="K657" s="83"/>
      <c r="L657" s="83"/>
      <c r="M657" s="83"/>
      <c r="N657" s="83"/>
      <c r="O657" s="83"/>
      <c r="P657" s="83"/>
      <c r="Q657" s="83"/>
      <c r="R657" s="83"/>
      <c r="S657" s="83"/>
      <c r="T657" s="83"/>
      <c r="U657" s="83"/>
      <c r="V657" s="83"/>
      <c r="W657" s="83"/>
      <c r="X657" s="83"/>
      <c r="Y657" s="83"/>
      <c r="Z657" s="83"/>
      <c r="AA657" s="83"/>
      <c r="AB657" s="83"/>
      <c r="AC657" s="83"/>
    </row>
    <row r="658" spans="2:29" x14ac:dyDescent="0.25">
      <c r="B658" s="83"/>
      <c r="C658" s="83"/>
      <c r="D658" s="83"/>
      <c r="E658" s="83"/>
      <c r="F658" s="83"/>
      <c r="G658" s="83"/>
      <c r="H658" s="83"/>
      <c r="I658" s="83"/>
      <c r="J658" s="83"/>
      <c r="K658" s="83"/>
      <c r="L658" s="83"/>
      <c r="M658" s="83"/>
      <c r="N658" s="83"/>
      <c r="O658" s="83"/>
      <c r="P658" s="83"/>
      <c r="Q658" s="83"/>
      <c r="R658" s="83"/>
      <c r="S658" s="83"/>
      <c r="T658" s="83"/>
      <c r="U658" s="83"/>
      <c r="V658" s="83"/>
      <c r="W658" s="83"/>
      <c r="X658" s="83"/>
      <c r="Y658" s="83"/>
      <c r="Z658" s="83"/>
      <c r="AA658" s="83"/>
      <c r="AB658" s="83"/>
      <c r="AC658" s="83"/>
    </row>
    <row r="659" spans="2:29" x14ac:dyDescent="0.25">
      <c r="B659" s="83"/>
      <c r="C659" s="83"/>
      <c r="D659" s="83"/>
      <c r="E659" s="83"/>
      <c r="F659" s="83"/>
      <c r="G659" s="83"/>
      <c r="H659" s="83"/>
      <c r="I659" s="83"/>
      <c r="J659" s="83"/>
      <c r="K659" s="83"/>
      <c r="L659" s="83"/>
      <c r="M659" s="83"/>
      <c r="N659" s="83"/>
      <c r="O659" s="83"/>
      <c r="P659" s="83"/>
      <c r="Q659" s="83"/>
      <c r="R659" s="83"/>
      <c r="S659" s="83"/>
      <c r="T659" s="83"/>
      <c r="U659" s="83"/>
      <c r="V659" s="83"/>
      <c r="W659" s="83"/>
      <c r="X659" s="83"/>
      <c r="Y659" s="83"/>
      <c r="Z659" s="83"/>
      <c r="AA659" s="83"/>
      <c r="AB659" s="83"/>
      <c r="AC659" s="83"/>
    </row>
    <row r="660" spans="2:29" x14ac:dyDescent="0.25">
      <c r="B660" s="83"/>
      <c r="C660" s="83"/>
      <c r="D660" s="83"/>
      <c r="E660" s="83"/>
      <c r="F660" s="83"/>
      <c r="G660" s="83"/>
      <c r="H660" s="83"/>
      <c r="I660" s="83"/>
      <c r="J660" s="83"/>
      <c r="K660" s="83"/>
      <c r="L660" s="83"/>
      <c r="M660" s="83"/>
      <c r="N660" s="83"/>
      <c r="O660" s="83"/>
      <c r="P660" s="83"/>
      <c r="Q660" s="83"/>
      <c r="R660" s="83"/>
      <c r="S660" s="83"/>
      <c r="T660" s="83"/>
      <c r="U660" s="83"/>
      <c r="V660" s="83"/>
      <c r="W660" s="83"/>
      <c r="X660" s="83"/>
      <c r="Y660" s="83"/>
      <c r="Z660" s="83"/>
      <c r="AA660" s="83"/>
      <c r="AB660" s="83"/>
      <c r="AC660" s="83"/>
    </row>
    <row r="661" spans="2:29" x14ac:dyDescent="0.25">
      <c r="B661" s="83"/>
      <c r="C661" s="83"/>
      <c r="D661" s="83"/>
      <c r="E661" s="83"/>
      <c r="F661" s="83"/>
      <c r="G661" s="83"/>
      <c r="H661" s="83"/>
      <c r="I661" s="83"/>
      <c r="J661" s="83"/>
      <c r="K661" s="83"/>
      <c r="L661" s="83"/>
      <c r="M661" s="83"/>
      <c r="N661" s="83"/>
      <c r="O661" s="83"/>
      <c r="P661" s="83"/>
      <c r="Q661" s="83"/>
      <c r="R661" s="83"/>
      <c r="S661" s="83"/>
      <c r="T661" s="83"/>
      <c r="U661" s="83"/>
      <c r="V661" s="83"/>
      <c r="W661" s="83"/>
      <c r="X661" s="83"/>
      <c r="Y661" s="83"/>
      <c r="Z661" s="83"/>
      <c r="AA661" s="83"/>
      <c r="AB661" s="83"/>
      <c r="AC661" s="83"/>
    </row>
    <row r="662" spans="2:29" x14ac:dyDescent="0.25">
      <c r="B662" s="83"/>
      <c r="C662" s="83"/>
      <c r="D662" s="83"/>
      <c r="E662" s="83"/>
      <c r="F662" s="83"/>
      <c r="G662" s="83"/>
      <c r="H662" s="83"/>
      <c r="I662" s="83"/>
      <c r="J662" s="83"/>
      <c r="K662" s="83"/>
      <c r="L662" s="83"/>
      <c r="M662" s="83"/>
      <c r="N662" s="83"/>
      <c r="O662" s="83"/>
      <c r="P662" s="83"/>
      <c r="Q662" s="83"/>
      <c r="R662" s="83"/>
      <c r="S662" s="83"/>
      <c r="T662" s="83"/>
      <c r="U662" s="83"/>
      <c r="V662" s="83"/>
      <c r="W662" s="83"/>
      <c r="X662" s="83"/>
      <c r="Y662" s="83"/>
      <c r="Z662" s="83"/>
      <c r="AA662" s="83"/>
      <c r="AB662" s="83"/>
      <c r="AC662" s="83"/>
    </row>
    <row r="663" spans="2:29" x14ac:dyDescent="0.25">
      <c r="B663" s="83"/>
      <c r="C663" s="83"/>
      <c r="D663" s="83"/>
      <c r="E663" s="83"/>
      <c r="F663" s="83"/>
      <c r="G663" s="83"/>
      <c r="H663" s="83"/>
      <c r="I663" s="83"/>
      <c r="J663" s="83"/>
      <c r="K663" s="83"/>
      <c r="L663" s="83"/>
      <c r="M663" s="83"/>
      <c r="N663" s="83"/>
      <c r="O663" s="83"/>
      <c r="P663" s="83"/>
      <c r="Q663" s="83"/>
      <c r="R663" s="83"/>
      <c r="S663" s="83"/>
      <c r="T663" s="83"/>
      <c r="U663" s="83"/>
      <c r="V663" s="83"/>
      <c r="W663" s="83"/>
      <c r="X663" s="83"/>
      <c r="Y663" s="83"/>
      <c r="Z663" s="83"/>
      <c r="AA663" s="83"/>
      <c r="AB663" s="83"/>
      <c r="AC663" s="83"/>
    </row>
    <row r="664" spans="2:29" x14ac:dyDescent="0.25">
      <c r="B664" s="83"/>
      <c r="C664" s="83"/>
      <c r="D664" s="83"/>
      <c r="E664" s="83"/>
      <c r="F664" s="83"/>
      <c r="G664" s="83"/>
      <c r="H664" s="83"/>
      <c r="I664" s="83"/>
      <c r="J664" s="83"/>
      <c r="K664" s="83"/>
      <c r="L664" s="83"/>
      <c r="M664" s="83"/>
      <c r="N664" s="83"/>
      <c r="O664" s="83"/>
      <c r="P664" s="83"/>
      <c r="Q664" s="83"/>
      <c r="R664" s="83"/>
      <c r="S664" s="83"/>
      <c r="T664" s="83"/>
      <c r="U664" s="83"/>
      <c r="V664" s="83"/>
      <c r="W664" s="83"/>
      <c r="X664" s="83"/>
      <c r="Y664" s="83"/>
      <c r="Z664" s="83"/>
      <c r="AA664" s="83"/>
      <c r="AB664" s="83"/>
      <c r="AC664" s="83"/>
    </row>
    <row r="665" spans="2:29" x14ac:dyDescent="0.25">
      <c r="B665" s="83"/>
      <c r="C665" s="83"/>
      <c r="D665" s="83"/>
      <c r="E665" s="83"/>
      <c r="F665" s="83"/>
      <c r="G665" s="83"/>
      <c r="H665" s="83"/>
      <c r="I665" s="83"/>
      <c r="J665" s="83"/>
      <c r="K665" s="83"/>
      <c r="L665" s="83"/>
      <c r="M665" s="83"/>
      <c r="N665" s="83"/>
      <c r="O665" s="83"/>
      <c r="P665" s="83"/>
      <c r="Q665" s="83"/>
      <c r="R665" s="83"/>
      <c r="S665" s="83"/>
      <c r="T665" s="83"/>
      <c r="U665" s="83"/>
      <c r="V665" s="83"/>
      <c r="W665" s="83"/>
      <c r="X665" s="83"/>
      <c r="Y665" s="83"/>
      <c r="Z665" s="83"/>
      <c r="AA665" s="83"/>
      <c r="AB665" s="83"/>
      <c r="AC665" s="83"/>
    </row>
    <row r="666" spans="2:29" x14ac:dyDescent="0.25">
      <c r="B666" s="83"/>
      <c r="C666" s="83"/>
      <c r="D666" s="83"/>
      <c r="E666" s="83"/>
      <c r="F666" s="83"/>
      <c r="G666" s="83"/>
      <c r="H666" s="83"/>
      <c r="I666" s="83"/>
      <c r="J666" s="83"/>
      <c r="K666" s="83"/>
      <c r="L666" s="83"/>
      <c r="M666" s="83"/>
      <c r="N666" s="83"/>
      <c r="O666" s="83"/>
      <c r="P666" s="83"/>
      <c r="Q666" s="83"/>
      <c r="R666" s="83"/>
      <c r="S666" s="83"/>
      <c r="T666" s="83"/>
      <c r="U666" s="83"/>
      <c r="V666" s="83"/>
      <c r="W666" s="83"/>
      <c r="X666" s="83"/>
      <c r="Y666" s="83"/>
      <c r="Z666" s="83"/>
      <c r="AA666" s="83"/>
      <c r="AB666" s="83"/>
      <c r="AC666" s="83"/>
    </row>
    <row r="667" spans="2:29" x14ac:dyDescent="0.25">
      <c r="B667" s="83"/>
      <c r="C667" s="83"/>
      <c r="D667" s="83"/>
      <c r="E667" s="83"/>
      <c r="F667" s="83"/>
      <c r="G667" s="83"/>
      <c r="H667" s="83"/>
      <c r="I667" s="83"/>
      <c r="J667" s="83"/>
      <c r="K667" s="83"/>
      <c r="L667" s="83"/>
      <c r="M667" s="83"/>
      <c r="N667" s="83"/>
      <c r="O667" s="83"/>
      <c r="P667" s="83"/>
      <c r="Q667" s="83"/>
      <c r="R667" s="83"/>
      <c r="S667" s="83"/>
      <c r="T667" s="83"/>
      <c r="U667" s="83"/>
      <c r="V667" s="83"/>
      <c r="W667" s="83"/>
      <c r="X667" s="83"/>
      <c r="Y667" s="83"/>
      <c r="Z667" s="83"/>
      <c r="AA667" s="83"/>
      <c r="AB667" s="83"/>
      <c r="AC667" s="83"/>
    </row>
    <row r="668" spans="2:29" x14ac:dyDescent="0.25">
      <c r="B668" s="83"/>
      <c r="C668" s="83"/>
      <c r="D668" s="83"/>
      <c r="E668" s="83"/>
      <c r="F668" s="83"/>
      <c r="G668" s="83"/>
      <c r="H668" s="83"/>
      <c r="I668" s="83"/>
      <c r="J668" s="83"/>
      <c r="K668" s="83"/>
      <c r="L668" s="83"/>
      <c r="M668" s="83"/>
      <c r="N668" s="83"/>
      <c r="O668" s="83"/>
      <c r="P668" s="83"/>
      <c r="Q668" s="83"/>
      <c r="R668" s="83"/>
      <c r="S668" s="83"/>
      <c r="T668" s="83"/>
      <c r="U668" s="83"/>
      <c r="V668" s="83"/>
      <c r="W668" s="83"/>
      <c r="X668" s="83"/>
      <c r="Y668" s="83"/>
      <c r="Z668" s="83"/>
      <c r="AA668" s="83"/>
      <c r="AB668" s="83"/>
      <c r="AC668" s="83"/>
    </row>
    <row r="669" spans="2:29" x14ac:dyDescent="0.25">
      <c r="B669" s="83"/>
      <c r="C669" s="83"/>
      <c r="D669" s="83"/>
      <c r="E669" s="83"/>
      <c r="F669" s="83"/>
      <c r="G669" s="83"/>
      <c r="H669" s="83"/>
      <c r="I669" s="83"/>
      <c r="J669" s="83"/>
      <c r="K669" s="83"/>
      <c r="L669" s="83"/>
      <c r="M669" s="83"/>
      <c r="N669" s="83"/>
      <c r="O669" s="83"/>
      <c r="P669" s="83"/>
      <c r="Q669" s="83"/>
      <c r="R669" s="83"/>
      <c r="S669" s="83"/>
      <c r="T669" s="83"/>
      <c r="U669" s="83"/>
      <c r="V669" s="83"/>
      <c r="W669" s="83"/>
      <c r="X669" s="83"/>
      <c r="Y669" s="83"/>
      <c r="Z669" s="83"/>
      <c r="AA669" s="83"/>
      <c r="AB669" s="83"/>
      <c r="AC669" s="83"/>
    </row>
    <row r="670" spans="2:29" x14ac:dyDescent="0.25">
      <c r="B670" s="83"/>
      <c r="C670" s="83"/>
      <c r="D670" s="83"/>
      <c r="E670" s="83"/>
      <c r="F670" s="83"/>
      <c r="G670" s="83"/>
      <c r="H670" s="83"/>
      <c r="I670" s="83"/>
      <c r="J670" s="83"/>
      <c r="K670" s="83"/>
      <c r="L670" s="83"/>
      <c r="M670" s="83"/>
      <c r="N670" s="83"/>
      <c r="O670" s="83"/>
      <c r="P670" s="83"/>
      <c r="Q670" s="83"/>
      <c r="R670" s="83"/>
      <c r="S670" s="83"/>
      <c r="T670" s="83"/>
      <c r="U670" s="83"/>
      <c r="V670" s="83"/>
      <c r="W670" s="83"/>
      <c r="X670" s="83"/>
      <c r="Y670" s="83"/>
      <c r="Z670" s="83"/>
      <c r="AA670" s="83"/>
      <c r="AB670" s="83"/>
      <c r="AC670" s="83"/>
    </row>
    <row r="671" spans="2:29" x14ac:dyDescent="0.25">
      <c r="B671" s="83"/>
      <c r="C671" s="83"/>
      <c r="D671" s="83"/>
      <c r="E671" s="83"/>
      <c r="F671" s="83"/>
      <c r="G671" s="83"/>
      <c r="H671" s="83"/>
      <c r="I671" s="83"/>
      <c r="J671" s="83"/>
      <c r="K671" s="83"/>
      <c r="L671" s="83"/>
      <c r="M671" s="83"/>
      <c r="N671" s="83"/>
      <c r="O671" s="83"/>
      <c r="P671" s="83"/>
      <c r="Q671" s="83"/>
      <c r="R671" s="83"/>
      <c r="S671" s="83"/>
      <c r="T671" s="83"/>
      <c r="U671" s="83"/>
      <c r="V671" s="83"/>
      <c r="W671" s="83"/>
      <c r="X671" s="83"/>
      <c r="Y671" s="83"/>
      <c r="Z671" s="83"/>
      <c r="AA671" s="83"/>
      <c r="AB671" s="83"/>
      <c r="AC671" s="83"/>
    </row>
    <row r="672" spans="2:29" x14ac:dyDescent="0.25">
      <c r="B672" s="83"/>
      <c r="C672" s="83"/>
      <c r="D672" s="83"/>
      <c r="E672" s="83"/>
      <c r="F672" s="83"/>
      <c r="G672" s="83"/>
      <c r="H672" s="83"/>
      <c r="I672" s="83"/>
      <c r="J672" s="83"/>
      <c r="K672" s="83"/>
      <c r="L672" s="83"/>
      <c r="M672" s="83"/>
      <c r="N672" s="83"/>
      <c r="O672" s="83"/>
      <c r="P672" s="83"/>
      <c r="Q672" s="83"/>
      <c r="R672" s="83"/>
      <c r="S672" s="83"/>
      <c r="T672" s="83"/>
      <c r="U672" s="83"/>
      <c r="V672" s="83"/>
      <c r="W672" s="83"/>
      <c r="X672" s="83"/>
      <c r="Y672" s="83"/>
      <c r="Z672" s="83"/>
      <c r="AA672" s="83"/>
      <c r="AB672" s="83"/>
      <c r="AC672" s="83"/>
    </row>
    <row r="673" spans="2:29" x14ac:dyDescent="0.25">
      <c r="B673" s="83"/>
      <c r="C673" s="83"/>
      <c r="D673" s="83"/>
      <c r="E673" s="83"/>
      <c r="F673" s="83"/>
      <c r="G673" s="83"/>
      <c r="H673" s="83"/>
      <c r="I673" s="83"/>
      <c r="J673" s="83"/>
      <c r="K673" s="83"/>
      <c r="L673" s="83"/>
      <c r="M673" s="83"/>
      <c r="N673" s="83"/>
      <c r="O673" s="83"/>
      <c r="P673" s="83"/>
      <c r="Q673" s="83"/>
      <c r="R673" s="83"/>
      <c r="S673" s="83"/>
      <c r="T673" s="83"/>
      <c r="U673" s="83"/>
      <c r="V673" s="83"/>
      <c r="W673" s="83"/>
      <c r="X673" s="83"/>
      <c r="Y673" s="83"/>
      <c r="Z673" s="83"/>
      <c r="AA673" s="83"/>
      <c r="AB673" s="83"/>
      <c r="AC673" s="83"/>
    </row>
    <row r="674" spans="2:29" x14ac:dyDescent="0.25">
      <c r="B674" s="83"/>
      <c r="C674" s="83"/>
      <c r="D674" s="83"/>
      <c r="E674" s="83"/>
      <c r="F674" s="83"/>
      <c r="G674" s="83"/>
      <c r="H674" s="83"/>
      <c r="I674" s="83"/>
      <c r="J674" s="83"/>
      <c r="K674" s="83"/>
      <c r="L674" s="83"/>
      <c r="M674" s="83"/>
      <c r="N674" s="83"/>
      <c r="O674" s="83"/>
      <c r="P674" s="83"/>
      <c r="Q674" s="83"/>
      <c r="R674" s="83"/>
      <c r="S674" s="83"/>
      <c r="T674" s="83"/>
      <c r="U674" s="83"/>
      <c r="V674" s="83"/>
      <c r="W674" s="83"/>
      <c r="X674" s="83"/>
      <c r="Y674" s="83"/>
      <c r="Z674" s="83"/>
      <c r="AA674" s="83"/>
      <c r="AB674" s="83"/>
      <c r="AC674" s="83"/>
    </row>
    <row r="675" spans="2:29" x14ac:dyDescent="0.25">
      <c r="B675" s="83"/>
      <c r="C675" s="83"/>
      <c r="D675" s="83"/>
      <c r="E675" s="83"/>
      <c r="F675" s="83"/>
      <c r="G675" s="83"/>
      <c r="H675" s="83"/>
      <c r="I675" s="83"/>
      <c r="J675" s="83"/>
      <c r="K675" s="83"/>
      <c r="L675" s="83"/>
      <c r="M675" s="83"/>
      <c r="N675" s="83"/>
      <c r="O675" s="83"/>
      <c r="P675" s="83"/>
      <c r="Q675" s="83"/>
      <c r="R675" s="83"/>
      <c r="S675" s="83"/>
      <c r="T675" s="83"/>
      <c r="U675" s="83"/>
      <c r="V675" s="83"/>
      <c r="W675" s="83"/>
      <c r="X675" s="83"/>
      <c r="Y675" s="83"/>
      <c r="Z675" s="83"/>
      <c r="AA675" s="83"/>
      <c r="AB675" s="83"/>
      <c r="AC675" s="83"/>
    </row>
    <row r="676" spans="2:29" x14ac:dyDescent="0.25">
      <c r="B676" s="83"/>
      <c r="C676" s="83"/>
      <c r="D676" s="83"/>
      <c r="E676" s="83"/>
      <c r="F676" s="83"/>
      <c r="G676" s="83"/>
      <c r="H676" s="83"/>
      <c r="I676" s="83"/>
      <c r="J676" s="83"/>
      <c r="K676" s="83"/>
      <c r="L676" s="83"/>
      <c r="M676" s="83"/>
      <c r="N676" s="83"/>
      <c r="O676" s="83"/>
      <c r="P676" s="83"/>
      <c r="Q676" s="83"/>
      <c r="R676" s="83"/>
      <c r="S676" s="83"/>
      <c r="T676" s="83"/>
      <c r="U676" s="83"/>
      <c r="V676" s="83"/>
      <c r="W676" s="83"/>
      <c r="X676" s="83"/>
      <c r="Y676" s="83"/>
      <c r="Z676" s="83"/>
      <c r="AA676" s="83"/>
      <c r="AB676" s="83"/>
      <c r="AC676" s="83"/>
    </row>
    <row r="677" spans="2:29" x14ac:dyDescent="0.25">
      <c r="B677" s="83"/>
      <c r="C677" s="83"/>
      <c r="D677" s="83"/>
      <c r="E677" s="83"/>
      <c r="F677" s="83"/>
      <c r="G677" s="83"/>
      <c r="H677" s="83"/>
      <c r="I677" s="83"/>
      <c r="J677" s="83"/>
      <c r="K677" s="83"/>
      <c r="L677" s="83"/>
      <c r="M677" s="83"/>
      <c r="N677" s="83"/>
      <c r="O677" s="83"/>
      <c r="P677" s="83"/>
      <c r="Q677" s="83"/>
      <c r="R677" s="83"/>
      <c r="S677" s="83"/>
      <c r="T677" s="83"/>
      <c r="U677" s="83"/>
      <c r="V677" s="83"/>
      <c r="W677" s="83"/>
      <c r="X677" s="83"/>
      <c r="Y677" s="83"/>
      <c r="Z677" s="83"/>
      <c r="AA677" s="83"/>
      <c r="AB677" s="83"/>
      <c r="AC677" s="83"/>
    </row>
    <row r="678" spans="2:29" x14ac:dyDescent="0.25">
      <c r="B678" s="83"/>
      <c r="C678" s="83"/>
      <c r="D678" s="83"/>
      <c r="E678" s="83"/>
      <c r="F678" s="83"/>
      <c r="G678" s="83"/>
      <c r="H678" s="83"/>
      <c r="I678" s="83"/>
      <c r="J678" s="83"/>
      <c r="K678" s="83"/>
      <c r="L678" s="83"/>
      <c r="M678" s="83"/>
      <c r="N678" s="83"/>
      <c r="O678" s="83"/>
      <c r="P678" s="83"/>
      <c r="Q678" s="83"/>
      <c r="R678" s="83"/>
      <c r="S678" s="83"/>
      <c r="T678" s="83"/>
      <c r="U678" s="83"/>
      <c r="V678" s="83"/>
      <c r="W678" s="83"/>
      <c r="X678" s="83"/>
      <c r="Y678" s="83"/>
      <c r="Z678" s="83"/>
      <c r="AA678" s="83"/>
      <c r="AB678" s="83"/>
      <c r="AC678" s="83"/>
    </row>
    <row r="679" spans="2:29" x14ac:dyDescent="0.25">
      <c r="B679" s="83"/>
      <c r="C679" s="83"/>
      <c r="D679" s="83"/>
      <c r="E679" s="83"/>
      <c r="F679" s="83"/>
      <c r="G679" s="83"/>
      <c r="H679" s="83"/>
      <c r="I679" s="83"/>
      <c r="J679" s="83"/>
      <c r="K679" s="83"/>
      <c r="L679" s="83"/>
      <c r="M679" s="83"/>
      <c r="N679" s="83"/>
      <c r="O679" s="83"/>
      <c r="P679" s="83"/>
      <c r="Q679" s="83"/>
      <c r="R679" s="83"/>
      <c r="S679" s="83"/>
      <c r="T679" s="83"/>
      <c r="U679" s="83"/>
      <c r="V679" s="83"/>
      <c r="W679" s="83"/>
      <c r="X679" s="83"/>
      <c r="Y679" s="83"/>
      <c r="Z679" s="83"/>
      <c r="AA679" s="83"/>
      <c r="AB679" s="83"/>
      <c r="AC679" s="83"/>
    </row>
    <row r="680" spans="2:29" x14ac:dyDescent="0.25">
      <c r="B680" s="83"/>
      <c r="C680" s="83"/>
      <c r="D680" s="83"/>
      <c r="E680" s="83"/>
      <c r="F680" s="83"/>
      <c r="G680" s="83"/>
      <c r="H680" s="83"/>
      <c r="I680" s="83"/>
      <c r="J680" s="83"/>
      <c r="K680" s="83"/>
      <c r="L680" s="83"/>
      <c r="M680" s="83"/>
      <c r="N680" s="83"/>
      <c r="O680" s="83"/>
      <c r="P680" s="83"/>
      <c r="Q680" s="83"/>
      <c r="R680" s="83"/>
      <c r="S680" s="83"/>
      <c r="T680" s="83"/>
      <c r="U680" s="83"/>
      <c r="V680" s="83"/>
      <c r="W680" s="83"/>
      <c r="X680" s="83"/>
      <c r="Y680" s="83"/>
      <c r="Z680" s="83"/>
      <c r="AA680" s="83"/>
      <c r="AB680" s="83"/>
      <c r="AC680" s="83"/>
    </row>
    <row r="681" spans="2:29" x14ac:dyDescent="0.25">
      <c r="B681" s="83"/>
      <c r="C681" s="83"/>
      <c r="D681" s="83"/>
      <c r="E681" s="83"/>
      <c r="F681" s="83"/>
      <c r="G681" s="83"/>
      <c r="H681" s="83"/>
      <c r="I681" s="83"/>
      <c r="J681" s="83"/>
      <c r="K681" s="83"/>
      <c r="L681" s="83"/>
      <c r="M681" s="83"/>
      <c r="N681" s="83"/>
      <c r="O681" s="83"/>
      <c r="P681" s="83"/>
      <c r="Q681" s="83"/>
      <c r="R681" s="83"/>
      <c r="S681" s="83"/>
      <c r="T681" s="83"/>
      <c r="U681" s="83"/>
      <c r="V681" s="83"/>
      <c r="W681" s="83"/>
      <c r="X681" s="83"/>
      <c r="Y681" s="83"/>
      <c r="Z681" s="83"/>
      <c r="AA681" s="83"/>
      <c r="AB681" s="83"/>
      <c r="AC681" s="83"/>
    </row>
    <row r="682" spans="2:29" x14ac:dyDescent="0.25">
      <c r="B682" s="83"/>
      <c r="C682" s="83"/>
      <c r="D682" s="83"/>
      <c r="E682" s="83"/>
      <c r="F682" s="83"/>
      <c r="G682" s="83"/>
      <c r="H682" s="83"/>
      <c r="I682" s="83"/>
      <c r="J682" s="83"/>
      <c r="K682" s="83"/>
      <c r="L682" s="83"/>
      <c r="M682" s="83"/>
      <c r="N682" s="83"/>
      <c r="O682" s="83"/>
      <c r="P682" s="83"/>
      <c r="Q682" s="83"/>
      <c r="R682" s="83"/>
      <c r="S682" s="83"/>
      <c r="T682" s="83"/>
      <c r="U682" s="83"/>
      <c r="V682" s="83"/>
      <c r="W682" s="83"/>
      <c r="X682" s="83"/>
      <c r="Y682" s="83"/>
      <c r="Z682" s="83"/>
      <c r="AA682" s="83"/>
      <c r="AB682" s="83"/>
      <c r="AC682" s="83"/>
    </row>
    <row r="683" spans="2:29" x14ac:dyDescent="0.25">
      <c r="B683" s="83"/>
      <c r="C683" s="83"/>
      <c r="D683" s="83"/>
      <c r="E683" s="83"/>
      <c r="F683" s="83"/>
      <c r="G683" s="83"/>
      <c r="H683" s="83"/>
      <c r="I683" s="83"/>
      <c r="J683" s="83"/>
      <c r="K683" s="83"/>
      <c r="L683" s="83"/>
      <c r="M683" s="83"/>
      <c r="N683" s="83"/>
      <c r="O683" s="83"/>
      <c r="P683" s="83"/>
      <c r="Q683" s="83"/>
      <c r="R683" s="83"/>
      <c r="S683" s="83"/>
      <c r="T683" s="83"/>
      <c r="U683" s="83"/>
      <c r="V683" s="83"/>
      <c r="W683" s="83"/>
      <c r="X683" s="83"/>
      <c r="Y683" s="83"/>
      <c r="Z683" s="83"/>
      <c r="AA683" s="83"/>
      <c r="AB683" s="83"/>
      <c r="AC683" s="83"/>
    </row>
    <row r="684" spans="2:29" x14ac:dyDescent="0.25">
      <c r="B684" s="83"/>
      <c r="C684" s="83"/>
      <c r="D684" s="83"/>
      <c r="E684" s="83"/>
      <c r="F684" s="83"/>
      <c r="G684" s="83"/>
      <c r="H684" s="83"/>
      <c r="I684" s="83"/>
      <c r="J684" s="83"/>
      <c r="K684" s="83"/>
      <c r="L684" s="83"/>
      <c r="M684" s="83"/>
      <c r="N684" s="83"/>
      <c r="O684" s="83"/>
      <c r="P684" s="83"/>
      <c r="Q684" s="83"/>
      <c r="R684" s="83"/>
      <c r="S684" s="83"/>
      <c r="T684" s="83"/>
      <c r="U684" s="83"/>
      <c r="V684" s="83"/>
      <c r="W684" s="83"/>
      <c r="X684" s="83"/>
      <c r="Y684" s="83"/>
      <c r="Z684" s="83"/>
      <c r="AA684" s="83"/>
      <c r="AB684" s="83"/>
      <c r="AC684" s="83"/>
    </row>
    <row r="685" spans="2:29" x14ac:dyDescent="0.25">
      <c r="B685" s="83"/>
      <c r="C685" s="83"/>
      <c r="D685" s="83"/>
      <c r="E685" s="83"/>
      <c r="F685" s="83"/>
      <c r="G685" s="83"/>
      <c r="H685" s="83"/>
      <c r="I685" s="83"/>
      <c r="J685" s="83"/>
      <c r="K685" s="83"/>
      <c r="L685" s="83"/>
      <c r="M685" s="83"/>
      <c r="N685" s="83"/>
      <c r="O685" s="83"/>
      <c r="P685" s="83"/>
      <c r="Q685" s="83"/>
      <c r="R685" s="83"/>
      <c r="S685" s="83"/>
      <c r="T685" s="83"/>
      <c r="U685" s="83"/>
      <c r="V685" s="83"/>
      <c r="W685" s="83"/>
      <c r="X685" s="83"/>
      <c r="Y685" s="83"/>
      <c r="Z685" s="83"/>
      <c r="AA685" s="83"/>
      <c r="AB685" s="83"/>
      <c r="AC685" s="83"/>
    </row>
    <row r="686" spans="2:29" x14ac:dyDescent="0.25">
      <c r="B686" s="83"/>
      <c r="C686" s="83"/>
      <c r="D686" s="83"/>
      <c r="E686" s="83"/>
      <c r="F686" s="83"/>
      <c r="G686" s="83"/>
      <c r="H686" s="83"/>
      <c r="I686" s="83"/>
      <c r="J686" s="83"/>
      <c r="K686" s="83"/>
      <c r="L686" s="83"/>
      <c r="M686" s="83"/>
      <c r="N686" s="83"/>
      <c r="O686" s="83"/>
      <c r="P686" s="83"/>
      <c r="Q686" s="83"/>
      <c r="R686" s="83"/>
      <c r="S686" s="83"/>
      <c r="T686" s="83"/>
      <c r="U686" s="83"/>
      <c r="V686" s="83"/>
      <c r="W686" s="83"/>
      <c r="X686" s="83"/>
      <c r="Y686" s="83"/>
      <c r="Z686" s="83"/>
      <c r="AA686" s="83"/>
      <c r="AB686" s="83"/>
      <c r="AC686" s="83"/>
    </row>
    <row r="687" spans="2:29" x14ac:dyDescent="0.25">
      <c r="B687" s="83"/>
      <c r="C687" s="83"/>
      <c r="D687" s="83"/>
      <c r="E687" s="83"/>
      <c r="F687" s="83"/>
      <c r="G687" s="83"/>
      <c r="H687" s="83"/>
      <c r="I687" s="83"/>
      <c r="J687" s="83"/>
      <c r="K687" s="83"/>
      <c r="L687" s="83"/>
      <c r="M687" s="83"/>
      <c r="N687" s="83"/>
      <c r="O687" s="83"/>
      <c r="P687" s="83"/>
      <c r="Q687" s="83"/>
      <c r="R687" s="83"/>
      <c r="S687" s="83"/>
      <c r="T687" s="83"/>
      <c r="U687" s="83"/>
      <c r="V687" s="83"/>
      <c r="W687" s="83"/>
      <c r="X687" s="83"/>
      <c r="Y687" s="83"/>
      <c r="Z687" s="83"/>
      <c r="AA687" s="83"/>
      <c r="AB687" s="83"/>
      <c r="AC687" s="83"/>
    </row>
    <row r="688" spans="2:29" x14ac:dyDescent="0.25">
      <c r="B688" s="83"/>
      <c r="C688" s="83"/>
      <c r="D688" s="83"/>
      <c r="E688" s="83"/>
      <c r="F688" s="83"/>
      <c r="G688" s="83"/>
      <c r="H688" s="83"/>
      <c r="I688" s="83"/>
      <c r="J688" s="83"/>
      <c r="K688" s="83"/>
      <c r="L688" s="83"/>
      <c r="M688" s="83"/>
      <c r="N688" s="83"/>
      <c r="O688" s="83"/>
      <c r="P688" s="83"/>
      <c r="Q688" s="83"/>
      <c r="R688" s="83"/>
      <c r="S688" s="83"/>
      <c r="T688" s="83"/>
      <c r="U688" s="83"/>
      <c r="V688" s="83"/>
      <c r="W688" s="83"/>
      <c r="X688" s="83"/>
      <c r="Y688" s="83"/>
      <c r="Z688" s="83"/>
      <c r="AA688" s="83"/>
      <c r="AB688" s="83"/>
      <c r="AC688" s="83"/>
    </row>
    <row r="689" spans="2:29" x14ac:dyDescent="0.25">
      <c r="B689" s="83"/>
      <c r="C689" s="83"/>
      <c r="D689" s="83"/>
      <c r="E689" s="83"/>
      <c r="F689" s="83"/>
      <c r="G689" s="83"/>
      <c r="H689" s="83"/>
      <c r="I689" s="83"/>
      <c r="J689" s="83"/>
      <c r="K689" s="83"/>
      <c r="L689" s="83"/>
      <c r="M689" s="83"/>
      <c r="N689" s="83"/>
      <c r="O689" s="83"/>
      <c r="P689" s="83"/>
      <c r="Q689" s="83"/>
      <c r="R689" s="83"/>
      <c r="S689" s="83"/>
      <c r="T689" s="83"/>
      <c r="U689" s="83"/>
      <c r="V689" s="83"/>
      <c r="W689" s="83"/>
      <c r="X689" s="83"/>
      <c r="Y689" s="83"/>
      <c r="Z689" s="83"/>
      <c r="AA689" s="83"/>
      <c r="AB689" s="83"/>
      <c r="AC689" s="83"/>
    </row>
    <row r="690" spans="2:29" x14ac:dyDescent="0.25">
      <c r="B690" s="83"/>
      <c r="C690" s="83"/>
      <c r="D690" s="83"/>
      <c r="E690" s="83"/>
      <c r="F690" s="83"/>
      <c r="G690" s="83"/>
      <c r="H690" s="83"/>
      <c r="I690" s="83"/>
      <c r="J690" s="83"/>
      <c r="K690" s="83"/>
      <c r="L690" s="83"/>
      <c r="M690" s="83"/>
      <c r="N690" s="83"/>
      <c r="O690" s="83"/>
      <c r="P690" s="83"/>
      <c r="Q690" s="83"/>
      <c r="R690" s="83"/>
      <c r="S690" s="83"/>
      <c r="T690" s="83"/>
      <c r="U690" s="83"/>
      <c r="V690" s="83"/>
      <c r="W690" s="83"/>
      <c r="X690" s="83"/>
      <c r="Y690" s="83"/>
      <c r="Z690" s="83"/>
      <c r="AA690" s="83"/>
      <c r="AB690" s="83"/>
      <c r="AC690" s="83"/>
    </row>
    <row r="691" spans="2:29" x14ac:dyDescent="0.25">
      <c r="B691" s="83"/>
      <c r="C691" s="83"/>
      <c r="D691" s="83"/>
      <c r="E691" s="83"/>
      <c r="F691" s="83"/>
      <c r="G691" s="83"/>
      <c r="H691" s="83"/>
      <c r="I691" s="83"/>
      <c r="J691" s="83"/>
      <c r="K691" s="83"/>
      <c r="L691" s="83"/>
      <c r="M691" s="83"/>
      <c r="N691" s="83"/>
      <c r="O691" s="83"/>
      <c r="P691" s="83"/>
      <c r="Q691" s="83"/>
      <c r="R691" s="83"/>
      <c r="S691" s="83"/>
      <c r="T691" s="83"/>
      <c r="U691" s="83"/>
      <c r="V691" s="83"/>
      <c r="W691" s="83"/>
      <c r="X691" s="83"/>
      <c r="Y691" s="83"/>
      <c r="Z691" s="83"/>
      <c r="AA691" s="83"/>
      <c r="AB691" s="83"/>
      <c r="AC691" s="83"/>
    </row>
    <row r="692" spans="2:29" x14ac:dyDescent="0.25">
      <c r="B692" s="83"/>
      <c r="C692" s="83"/>
      <c r="D692" s="83"/>
      <c r="E692" s="83"/>
      <c r="F692" s="83"/>
      <c r="G692" s="83"/>
      <c r="H692" s="83"/>
      <c r="I692" s="83"/>
      <c r="J692" s="83"/>
      <c r="K692" s="83"/>
      <c r="L692" s="83"/>
      <c r="M692" s="83"/>
      <c r="N692" s="83"/>
      <c r="O692" s="83"/>
      <c r="P692" s="83"/>
      <c r="Q692" s="83"/>
      <c r="R692" s="83"/>
      <c r="S692" s="83"/>
      <c r="T692" s="83"/>
      <c r="U692" s="83"/>
      <c r="V692" s="83"/>
      <c r="W692" s="83"/>
      <c r="X692" s="83"/>
      <c r="Y692" s="83"/>
      <c r="Z692" s="83"/>
      <c r="AA692" s="83"/>
      <c r="AB692" s="83"/>
      <c r="AC692" s="83"/>
    </row>
    <row r="693" spans="2:29" x14ac:dyDescent="0.25">
      <c r="B693" s="83"/>
      <c r="C693" s="83"/>
      <c r="D693" s="83"/>
      <c r="E693" s="83"/>
      <c r="F693" s="83"/>
      <c r="G693" s="83"/>
      <c r="H693" s="83"/>
      <c r="I693" s="83"/>
      <c r="J693" s="83"/>
      <c r="K693" s="83"/>
      <c r="L693" s="83"/>
      <c r="M693" s="83"/>
      <c r="N693" s="83"/>
      <c r="O693" s="83"/>
      <c r="P693" s="83"/>
      <c r="Q693" s="83"/>
      <c r="R693" s="83"/>
      <c r="S693" s="83"/>
      <c r="T693" s="83"/>
      <c r="U693" s="83"/>
      <c r="V693" s="83"/>
      <c r="W693" s="83"/>
      <c r="X693" s="83"/>
      <c r="Y693" s="83"/>
      <c r="Z693" s="83"/>
      <c r="AA693" s="83"/>
      <c r="AB693" s="83"/>
      <c r="AC693" s="83"/>
    </row>
    <row r="694" spans="2:29" x14ac:dyDescent="0.25">
      <c r="B694" s="83"/>
      <c r="C694" s="83"/>
      <c r="D694" s="83"/>
      <c r="E694" s="83"/>
      <c r="F694" s="83"/>
      <c r="G694" s="83"/>
      <c r="H694" s="83"/>
      <c r="I694" s="83"/>
      <c r="J694" s="83"/>
      <c r="K694" s="83"/>
      <c r="L694" s="83"/>
      <c r="M694" s="83"/>
      <c r="N694" s="83"/>
      <c r="O694" s="83"/>
      <c r="P694" s="83"/>
      <c r="Q694" s="83"/>
      <c r="R694" s="83"/>
      <c r="S694" s="83"/>
      <c r="T694" s="83"/>
      <c r="U694" s="83"/>
      <c r="V694" s="83"/>
      <c r="W694" s="83"/>
      <c r="X694" s="83"/>
      <c r="Y694" s="83"/>
      <c r="Z694" s="83"/>
      <c r="AA694" s="83"/>
      <c r="AB694" s="83"/>
      <c r="AC694" s="83"/>
    </row>
    <row r="695" spans="2:29" x14ac:dyDescent="0.25">
      <c r="B695" s="83"/>
      <c r="C695" s="83"/>
      <c r="D695" s="83"/>
      <c r="E695" s="83"/>
      <c r="F695" s="83"/>
      <c r="G695" s="83"/>
      <c r="H695" s="83"/>
      <c r="I695" s="83"/>
      <c r="J695" s="83"/>
      <c r="K695" s="83"/>
      <c r="L695" s="83"/>
      <c r="M695" s="83"/>
      <c r="N695" s="83"/>
      <c r="O695" s="83"/>
      <c r="P695" s="83"/>
      <c r="Q695" s="83"/>
      <c r="R695" s="83"/>
      <c r="S695" s="83"/>
      <c r="T695" s="83"/>
      <c r="U695" s="83"/>
      <c r="V695" s="83"/>
      <c r="W695" s="83"/>
      <c r="X695" s="83"/>
      <c r="Y695" s="83"/>
      <c r="Z695" s="83"/>
      <c r="AA695" s="83"/>
      <c r="AB695" s="83"/>
      <c r="AC695" s="83"/>
    </row>
    <row r="696" spans="2:29" x14ac:dyDescent="0.25">
      <c r="B696" s="83"/>
      <c r="C696" s="83"/>
      <c r="D696" s="83"/>
      <c r="E696" s="83"/>
      <c r="F696" s="83"/>
      <c r="G696" s="83"/>
      <c r="H696" s="83"/>
      <c r="I696" s="83"/>
      <c r="J696" s="83"/>
      <c r="K696" s="83"/>
      <c r="L696" s="83"/>
      <c r="M696" s="83"/>
      <c r="N696" s="83"/>
      <c r="O696" s="83"/>
      <c r="P696" s="83"/>
      <c r="Q696" s="83"/>
      <c r="R696" s="83"/>
      <c r="S696" s="83"/>
      <c r="T696" s="83"/>
      <c r="U696" s="83"/>
      <c r="V696" s="83"/>
      <c r="W696" s="83"/>
      <c r="X696" s="83"/>
      <c r="Y696" s="83"/>
      <c r="Z696" s="83"/>
      <c r="AA696" s="83"/>
      <c r="AB696" s="83"/>
      <c r="AC696" s="83"/>
    </row>
    <row r="697" spans="2:29" x14ac:dyDescent="0.25">
      <c r="B697" s="83"/>
      <c r="C697" s="83"/>
      <c r="D697" s="83"/>
      <c r="E697" s="83"/>
      <c r="F697" s="83"/>
      <c r="G697" s="83"/>
      <c r="H697" s="83"/>
      <c r="I697" s="83"/>
      <c r="J697" s="83"/>
      <c r="K697" s="83"/>
      <c r="L697" s="83"/>
      <c r="M697" s="83"/>
      <c r="N697" s="83"/>
      <c r="O697" s="83"/>
      <c r="P697" s="83"/>
      <c r="Q697" s="83"/>
      <c r="R697" s="83"/>
      <c r="S697" s="83"/>
      <c r="T697" s="83"/>
      <c r="U697" s="83"/>
      <c r="V697" s="83"/>
      <c r="W697" s="83"/>
      <c r="X697" s="83"/>
      <c r="Y697" s="83"/>
      <c r="Z697" s="83"/>
      <c r="AA697" s="83"/>
      <c r="AB697" s="83"/>
      <c r="AC697" s="83"/>
    </row>
    <row r="698" spans="2:29" x14ac:dyDescent="0.25">
      <c r="B698" s="83"/>
      <c r="C698" s="83"/>
      <c r="D698" s="83"/>
      <c r="E698" s="83"/>
      <c r="F698" s="83"/>
      <c r="G698" s="83"/>
      <c r="H698" s="83"/>
      <c r="I698" s="83"/>
      <c r="J698" s="83"/>
      <c r="K698" s="83"/>
      <c r="L698" s="83"/>
      <c r="M698" s="83"/>
      <c r="N698" s="83"/>
      <c r="O698" s="83"/>
      <c r="P698" s="83"/>
      <c r="Q698" s="83"/>
      <c r="R698" s="83"/>
      <c r="S698" s="83"/>
      <c r="T698" s="83"/>
      <c r="U698" s="83"/>
      <c r="V698" s="83"/>
      <c r="W698" s="83"/>
      <c r="X698" s="83"/>
      <c r="Y698" s="83"/>
      <c r="Z698" s="83"/>
      <c r="AA698" s="83"/>
      <c r="AB698" s="83"/>
      <c r="AC698" s="83"/>
    </row>
    <row r="699" spans="2:29" x14ac:dyDescent="0.25">
      <c r="B699" s="83"/>
      <c r="C699" s="83"/>
      <c r="D699" s="83"/>
      <c r="E699" s="83"/>
      <c r="F699" s="83"/>
      <c r="G699" s="83"/>
      <c r="H699" s="83"/>
      <c r="I699" s="83"/>
      <c r="J699" s="83"/>
      <c r="K699" s="83"/>
      <c r="L699" s="83"/>
      <c r="M699" s="83"/>
      <c r="N699" s="83"/>
      <c r="O699" s="83"/>
      <c r="P699" s="83"/>
      <c r="Q699" s="83"/>
      <c r="R699" s="83"/>
      <c r="S699" s="83"/>
      <c r="T699" s="83"/>
    </row>
    <row r="700" spans="2:29" x14ac:dyDescent="0.25">
      <c r="B700" s="83"/>
      <c r="C700" s="83"/>
      <c r="D700" s="83"/>
      <c r="E700" s="83"/>
      <c r="F700" s="83"/>
      <c r="G700" s="83"/>
      <c r="H700" s="83"/>
      <c r="I700" s="83"/>
      <c r="J700" s="83"/>
      <c r="K700" s="83"/>
      <c r="L700" s="83"/>
      <c r="M700" s="83"/>
      <c r="N700" s="83"/>
      <c r="O700" s="83"/>
      <c r="P700" s="83"/>
      <c r="Q700" s="83"/>
      <c r="R700" s="83"/>
      <c r="S700" s="83"/>
      <c r="T700" s="83"/>
    </row>
    <row r="701" spans="2:29" x14ac:dyDescent="0.25">
      <c r="B701" s="83"/>
      <c r="C701" s="83"/>
      <c r="D701" s="83"/>
      <c r="E701" s="83"/>
      <c r="F701" s="83"/>
      <c r="G701" s="83"/>
      <c r="H701" s="83"/>
      <c r="I701" s="83"/>
      <c r="J701" s="83"/>
      <c r="K701" s="83"/>
      <c r="L701" s="83"/>
      <c r="M701" s="83"/>
      <c r="N701" s="83"/>
      <c r="O701" s="83"/>
      <c r="P701" s="83"/>
      <c r="Q701" s="83"/>
      <c r="R701" s="83"/>
      <c r="S701" s="83"/>
      <c r="T701" s="83"/>
    </row>
  </sheetData>
  <sheetProtection algorithmName="SHA-512" hashValue="4YCJalCotmyVqq8eQOThNY8pFSyFJDz14b5VIM6Z3rZY8QPn+I7Zm4V8LCjnR0N03j+mg3YxC75YwLIfMrdrpw==" saltValue="qm4lEvOGcBlLmB+EdR6RSA==" spinCount="100000" sheet="1" selectLockedCells="1"/>
  <mergeCells count="8">
    <mergeCell ref="P1:T2"/>
    <mergeCell ref="P16:T17"/>
    <mergeCell ref="A29:T29"/>
    <mergeCell ref="A15:T15"/>
    <mergeCell ref="C1:O1"/>
    <mergeCell ref="C2:O2"/>
    <mergeCell ref="C16:O16"/>
    <mergeCell ref="C17:O17"/>
  </mergeCells>
  <dataValidations count="3">
    <dataValidation type="list" allowBlank="1" showInputMessage="1" showErrorMessage="1" errorTitle="Error" error="You must select from the drop down list provided." sqref="H19:H28 H4:H13" xr:uid="{00000000-0002-0000-0100-000001000000}">
      <formula1>"White, Grey"</formula1>
    </dataValidation>
    <dataValidation type="whole" allowBlank="1" showInputMessage="1" showErrorMessage="1" prompt="Enter number of coats based on minimum recomended" sqref="E19:E28 E4:E13" xr:uid="{4EEA15AC-70DD-46AD-9FC0-B2238E570889}">
      <formula1>2</formula1>
      <formula2>9</formula2>
    </dataValidation>
    <dataValidation allowBlank="1" showInputMessage="1" showErrorMessage="1" prompt="Length of delivery hose is length of pipe + length from pipe to pump" sqref="G19:G28 G4:G13" xr:uid="{4650DB0A-F408-4B48-BAD6-11D0E08F10F7}"/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Select Pipe Diameter " xr:uid="{B4EE5EE9-9034-4CA2-A441-948AA4A51681}">
          <x14:formula1>
            <xm:f>'RT Calculator'!$B$2:$B$13</xm:f>
          </x14:formula1>
          <xm:sqref>B4:B13</xm:sqref>
        </x14:dataValidation>
        <x14:dataValidation type="list" allowBlank="1" showInputMessage="1" showErrorMessage="1" prompt="Select Pipe Diameter" xr:uid="{913BD370-B338-4814-9433-89A7E63D6FC8}">
          <x14:formula1>
            <xm:f>'RT Calculator'!$A$2:$A$13</xm:f>
          </x14:formula1>
          <xm:sqref>B19:B28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P230"/>
  <sheetViews>
    <sheetView zoomScale="70" zoomScaleNormal="70" zoomScalePageLayoutView="145" workbookViewId="0">
      <selection activeCell="D29" sqref="D29"/>
    </sheetView>
  </sheetViews>
  <sheetFormatPr defaultColWidth="8.85546875" defaultRowHeight="15" x14ac:dyDescent="0.25"/>
  <cols>
    <col min="1" max="1" width="12.7109375" customWidth="1"/>
    <col min="2" max="2" width="23.140625" customWidth="1"/>
    <col min="3" max="3" width="13" bestFit="1" customWidth="1"/>
    <col min="4" max="4" width="16" customWidth="1"/>
    <col min="5" max="5" width="21.28515625" bestFit="1" customWidth="1"/>
    <col min="6" max="6" width="12.42578125" customWidth="1"/>
    <col min="7" max="7" width="11.140625" hidden="1" customWidth="1"/>
    <col min="8" max="8" width="1.42578125" hidden="1" customWidth="1"/>
    <col min="9" max="9" width="16.7109375" bestFit="1" customWidth="1"/>
    <col min="10" max="10" width="16.42578125" customWidth="1"/>
    <col min="11" max="11" width="13.42578125" bestFit="1" customWidth="1"/>
    <col min="12" max="12" width="15" customWidth="1"/>
    <col min="13" max="14" width="10.140625" bestFit="1" customWidth="1"/>
    <col min="15" max="15" width="13.7109375" customWidth="1"/>
    <col min="16" max="16" width="12.7109375" customWidth="1"/>
    <col min="17" max="17" width="11.28515625" customWidth="1"/>
    <col min="18" max="18" width="10.5703125" customWidth="1"/>
    <col min="19" max="19" width="14.28515625" customWidth="1"/>
    <col min="20" max="20" width="4.42578125" style="3" hidden="1" customWidth="1"/>
    <col min="21" max="42" width="8.85546875" style="26"/>
  </cols>
  <sheetData>
    <row r="1" spans="1:20" s="43" customFormat="1" ht="29.25" customHeight="1" x14ac:dyDescent="0.5">
      <c r="A1" s="44"/>
      <c r="B1" s="45"/>
      <c r="C1" s="201" t="s">
        <v>84</v>
      </c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2"/>
      <c r="T1" s="85"/>
    </row>
    <row r="2" spans="1:20" s="26" customFormat="1" ht="28.9" customHeight="1" thickBot="1" x14ac:dyDescent="0.35">
      <c r="A2" s="177"/>
      <c r="B2" s="178"/>
      <c r="C2" s="205" t="s">
        <v>2</v>
      </c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6"/>
      <c r="T2" s="86"/>
    </row>
    <row r="3" spans="1:20" ht="76.5" customHeight="1" thickBot="1" x14ac:dyDescent="0.3">
      <c r="A3" s="172" t="s">
        <v>3</v>
      </c>
      <c r="B3" s="173" t="s">
        <v>82</v>
      </c>
      <c r="C3" s="174" t="s">
        <v>5</v>
      </c>
      <c r="D3" s="174" t="s">
        <v>6</v>
      </c>
      <c r="E3" s="174" t="s">
        <v>7</v>
      </c>
      <c r="F3" s="20" t="s">
        <v>8</v>
      </c>
      <c r="G3" s="174" t="s">
        <v>55</v>
      </c>
      <c r="H3" s="174" t="s">
        <v>9</v>
      </c>
      <c r="I3" s="175" t="s">
        <v>10</v>
      </c>
      <c r="J3" s="175" t="s">
        <v>11</v>
      </c>
      <c r="K3" s="175" t="s">
        <v>56</v>
      </c>
      <c r="L3" s="175" t="s">
        <v>57</v>
      </c>
      <c r="M3" s="175" t="s">
        <v>14</v>
      </c>
      <c r="N3" s="175" t="s">
        <v>15</v>
      </c>
      <c r="O3" s="174" t="s">
        <v>16</v>
      </c>
      <c r="P3" s="174" t="s">
        <v>17</v>
      </c>
      <c r="Q3" s="174" t="s">
        <v>58</v>
      </c>
      <c r="R3" s="174" t="s">
        <v>59</v>
      </c>
      <c r="S3" s="176" t="s">
        <v>20</v>
      </c>
      <c r="T3" s="87" t="s">
        <v>60</v>
      </c>
    </row>
    <row r="4" spans="1:20" ht="21" x14ac:dyDescent="0.35">
      <c r="A4" s="118" t="s">
        <v>22</v>
      </c>
      <c r="B4" s="109">
        <f>VLOOKUP(A4,'RT Calculator'!$K$2:$L$13,2,0)</f>
        <v>2</v>
      </c>
      <c r="C4" s="110"/>
      <c r="D4" s="110"/>
      <c r="E4" s="110"/>
      <c r="F4" s="110"/>
      <c r="G4" s="111">
        <f>F4</f>
        <v>0</v>
      </c>
      <c r="H4" s="111" t="str">
        <f t="shared" ref="H4:H13" si="0">IF(MOD(C4,2)=0,"Even","odd")</f>
        <v>Even</v>
      </c>
      <c r="I4" s="112">
        <f>K4*E4*25</f>
        <v>0</v>
      </c>
      <c r="J4" s="112">
        <f t="shared" ref="J4:J13" si="1">L4*E4*25</f>
        <v>0</v>
      </c>
      <c r="K4" s="112">
        <f t="shared" ref="K4:K13" si="2">IF(H4="EVEN",C4/2,IF(F4="Grey",(C4-1)/2+1,(C4-1)/2))</f>
        <v>0</v>
      </c>
      <c r="L4" s="112">
        <f t="shared" ref="L4:L13" si="3">IF(H4="EVEN",C4/2,IF(F4="White",((C4-1)/2+1),(C4-1)/2))</f>
        <v>0</v>
      </c>
      <c r="M4" s="112">
        <f>(25.55*D4*K4)+I4</f>
        <v>0</v>
      </c>
      <c r="N4" s="112">
        <f>(25.55*D4*L4)+J4</f>
        <v>0</v>
      </c>
      <c r="O4" s="113">
        <f>ROUNDUP(M4/900,0)</f>
        <v>0</v>
      </c>
      <c r="P4" s="113">
        <f t="shared" ref="O4:P13" si="4">ROUNDUP(N4/900,0)</f>
        <v>0</v>
      </c>
      <c r="Q4" s="114">
        <f>ROUNDUP(O4/6,0)</f>
        <v>0</v>
      </c>
      <c r="R4" s="114">
        <f>ROUNDUP(P4/6,0)</f>
        <v>0</v>
      </c>
      <c r="S4" s="114">
        <f>ROUNDUP((MAX(O4,P4)/3),0)</f>
        <v>0</v>
      </c>
      <c r="T4" s="88" t="str">
        <f>A4</f>
        <v>1.25"</v>
      </c>
    </row>
    <row r="5" spans="1:20" ht="21" x14ac:dyDescent="0.35">
      <c r="A5" s="94" t="s">
        <v>51</v>
      </c>
      <c r="B5" s="95">
        <f>VLOOKUP(A5,'RT Calculator'!$K$2:$L$13,2,0)</f>
        <v>2</v>
      </c>
      <c r="C5" s="96"/>
      <c r="D5" s="96"/>
      <c r="E5" s="96"/>
      <c r="F5" s="96"/>
      <c r="G5" s="97">
        <f t="shared" ref="G5:G13" si="5">F5</f>
        <v>0</v>
      </c>
      <c r="H5" s="97" t="str">
        <f t="shared" si="0"/>
        <v>Even</v>
      </c>
      <c r="I5" s="98">
        <f t="shared" ref="I5:I13" si="6">K5*E5*25</f>
        <v>0</v>
      </c>
      <c r="J5" s="98">
        <f t="shared" si="1"/>
        <v>0</v>
      </c>
      <c r="K5" s="98">
        <f t="shared" si="2"/>
        <v>0</v>
      </c>
      <c r="L5" s="98">
        <f t="shared" si="3"/>
        <v>0</v>
      </c>
      <c r="M5" s="98">
        <f>(31.39*D5*K5)+I5</f>
        <v>0</v>
      </c>
      <c r="N5" s="98">
        <f>(31.39*D5*L5)+J5</f>
        <v>0</v>
      </c>
      <c r="O5" s="99">
        <f t="shared" si="4"/>
        <v>0</v>
      </c>
      <c r="P5" s="99">
        <f t="shared" si="4"/>
        <v>0</v>
      </c>
      <c r="Q5" s="100">
        <f t="shared" ref="Q5:Q13" si="7">ROUNDUP(O5/6,0)</f>
        <v>0</v>
      </c>
      <c r="R5" s="100">
        <f t="shared" ref="R5:R13" si="8">ROUNDUP(P5/6,0)</f>
        <v>0</v>
      </c>
      <c r="S5" s="100">
        <f t="shared" ref="S5:S13" si="9">ROUNDUP((MAX(O5,P5)/3),0)</f>
        <v>0</v>
      </c>
      <c r="T5" s="88" t="str">
        <f t="shared" ref="T5:T13" si="10">A5</f>
        <v>1.5"</v>
      </c>
    </row>
    <row r="6" spans="1:20" ht="21" x14ac:dyDescent="0.35">
      <c r="A6" s="94" t="s">
        <v>24</v>
      </c>
      <c r="B6" s="95">
        <f>VLOOKUP(A6,'RT Calculator'!$K$2:$L$13,2,0)</f>
        <v>2</v>
      </c>
      <c r="C6" s="96"/>
      <c r="D6" s="96"/>
      <c r="E6" s="96"/>
      <c r="F6" s="96"/>
      <c r="G6" s="97">
        <f t="shared" si="5"/>
        <v>0</v>
      </c>
      <c r="H6" s="97" t="str">
        <f t="shared" si="0"/>
        <v>Even</v>
      </c>
      <c r="I6" s="98">
        <f t="shared" si="6"/>
        <v>0</v>
      </c>
      <c r="J6" s="98">
        <f t="shared" si="1"/>
        <v>0</v>
      </c>
      <c r="K6" s="98">
        <f t="shared" si="2"/>
        <v>0</v>
      </c>
      <c r="L6" s="98">
        <f t="shared" si="3"/>
        <v>0</v>
      </c>
      <c r="M6" s="98">
        <f>(40.15*D6*K6)+I6</f>
        <v>0</v>
      </c>
      <c r="N6" s="98">
        <f>(40.15*D6*L6)+J6</f>
        <v>0</v>
      </c>
      <c r="O6" s="99">
        <f t="shared" si="4"/>
        <v>0</v>
      </c>
      <c r="P6" s="99">
        <f t="shared" si="4"/>
        <v>0</v>
      </c>
      <c r="Q6" s="100">
        <f t="shared" si="7"/>
        <v>0</v>
      </c>
      <c r="R6" s="100">
        <f t="shared" si="8"/>
        <v>0</v>
      </c>
      <c r="S6" s="100">
        <f t="shared" si="9"/>
        <v>0</v>
      </c>
      <c r="T6" s="88" t="str">
        <f t="shared" si="10"/>
        <v>2"</v>
      </c>
    </row>
    <row r="7" spans="1:20" ht="21" x14ac:dyDescent="0.35">
      <c r="A7" s="94" t="s">
        <v>25</v>
      </c>
      <c r="B7" s="95">
        <f>VLOOKUP(A7,'RT Calculator'!$K$2:$L$13,2,0)</f>
        <v>2</v>
      </c>
      <c r="C7" s="96"/>
      <c r="D7" s="96"/>
      <c r="E7" s="96"/>
      <c r="F7" s="96"/>
      <c r="G7" s="97">
        <f t="shared" si="5"/>
        <v>0</v>
      </c>
      <c r="H7" s="97" t="str">
        <f t="shared" ref="H7" si="11">IF(MOD(C7,2)=0,"Even","odd")</f>
        <v>Even</v>
      </c>
      <c r="I7" s="98">
        <f t="shared" ref="I7" si="12">K7*E7*25</f>
        <v>0</v>
      </c>
      <c r="J7" s="98">
        <f t="shared" ref="J7" si="13">L7*E7*25</f>
        <v>0</v>
      </c>
      <c r="K7" s="98">
        <f t="shared" ref="K7" si="14">IF(H7="EVEN",C7/2,IF(F7="Grey",(C7-1)/2+1,(C7-1)/2))</f>
        <v>0</v>
      </c>
      <c r="L7" s="98">
        <f t="shared" ref="L7" si="15">IF(H7="EVEN",C7/2,IF(F7="White",((C7-1)/2+1),(C7-1)/2))</f>
        <v>0</v>
      </c>
      <c r="M7" s="98">
        <f>(47.231*D7*K7)+I7</f>
        <v>0</v>
      </c>
      <c r="N7" s="98">
        <f>(47.231*D7*L7)+J7</f>
        <v>0</v>
      </c>
      <c r="O7" s="99">
        <f t="shared" ref="O7" si="16">ROUNDUP(M7/900,0)</f>
        <v>0</v>
      </c>
      <c r="P7" s="99">
        <f t="shared" ref="P7" si="17">ROUNDUP(N7/900,0)</f>
        <v>0</v>
      </c>
      <c r="Q7" s="100">
        <f t="shared" si="7"/>
        <v>0</v>
      </c>
      <c r="R7" s="100">
        <f t="shared" si="8"/>
        <v>0</v>
      </c>
      <c r="S7" s="100">
        <f t="shared" si="9"/>
        <v>0</v>
      </c>
      <c r="T7" s="88" t="str">
        <f t="shared" si="10"/>
        <v>2.5"</v>
      </c>
    </row>
    <row r="8" spans="1:20" ht="21" x14ac:dyDescent="0.35">
      <c r="A8" s="94" t="s">
        <v>26</v>
      </c>
      <c r="B8" s="95" t="str">
        <f>VLOOKUP(A8,'RT Calculator'!$K$2:$L$13,2,0)</f>
        <v>3 to 4</v>
      </c>
      <c r="C8" s="96"/>
      <c r="D8" s="96"/>
      <c r="E8" s="96"/>
      <c r="F8" s="96"/>
      <c r="G8" s="97">
        <f t="shared" si="5"/>
        <v>0</v>
      </c>
      <c r="H8" s="97" t="str">
        <f t="shared" si="0"/>
        <v>Even</v>
      </c>
      <c r="I8" s="98">
        <f t="shared" si="6"/>
        <v>0</v>
      </c>
      <c r="J8" s="98">
        <f t="shared" si="1"/>
        <v>0</v>
      </c>
      <c r="K8" s="98">
        <f t="shared" si="2"/>
        <v>0</v>
      </c>
      <c r="L8" s="98">
        <f t="shared" si="3"/>
        <v>0</v>
      </c>
      <c r="M8" s="98">
        <f>(59.13*D8*K8)+I8</f>
        <v>0</v>
      </c>
      <c r="N8" s="98">
        <f>(59.13*D8*L8)+J8</f>
        <v>0</v>
      </c>
      <c r="O8" s="99">
        <f t="shared" si="4"/>
        <v>0</v>
      </c>
      <c r="P8" s="99">
        <f t="shared" si="4"/>
        <v>0</v>
      </c>
      <c r="Q8" s="100">
        <f t="shared" si="7"/>
        <v>0</v>
      </c>
      <c r="R8" s="100">
        <f t="shared" si="8"/>
        <v>0</v>
      </c>
      <c r="S8" s="100">
        <f t="shared" si="9"/>
        <v>0</v>
      </c>
      <c r="T8" s="88" t="str">
        <f t="shared" si="10"/>
        <v>3"</v>
      </c>
    </row>
    <row r="9" spans="1:20" ht="21" x14ac:dyDescent="0.35">
      <c r="A9" s="94" t="s">
        <v>27</v>
      </c>
      <c r="B9" s="95" t="str">
        <f>VLOOKUP(A9,'RT Calculator'!$K$2:$L$13,2,0)</f>
        <v>3 to 4</v>
      </c>
      <c r="C9" s="96"/>
      <c r="D9" s="96"/>
      <c r="E9" s="96"/>
      <c r="F9" s="96"/>
      <c r="G9" s="97">
        <f t="shared" si="5"/>
        <v>0</v>
      </c>
      <c r="H9" s="97" t="str">
        <f t="shared" si="0"/>
        <v>Even</v>
      </c>
      <c r="I9" s="98">
        <f t="shared" si="6"/>
        <v>0</v>
      </c>
      <c r="J9" s="98">
        <f t="shared" si="1"/>
        <v>0</v>
      </c>
      <c r="K9" s="98">
        <f t="shared" si="2"/>
        <v>0</v>
      </c>
      <c r="L9" s="98">
        <f t="shared" si="3"/>
        <v>0</v>
      </c>
      <c r="M9" s="98">
        <f>(76.869*D9*K9)+I9</f>
        <v>0</v>
      </c>
      <c r="N9" s="98">
        <f>(76.869*D9*L9)+J9</f>
        <v>0</v>
      </c>
      <c r="O9" s="99">
        <f t="shared" si="4"/>
        <v>0</v>
      </c>
      <c r="P9" s="99">
        <f t="shared" si="4"/>
        <v>0</v>
      </c>
      <c r="Q9" s="100">
        <f t="shared" si="7"/>
        <v>0</v>
      </c>
      <c r="R9" s="100">
        <f t="shared" si="8"/>
        <v>0</v>
      </c>
      <c r="S9" s="100">
        <f t="shared" si="9"/>
        <v>0</v>
      </c>
      <c r="T9" s="88" t="str">
        <f t="shared" si="10"/>
        <v>4"</v>
      </c>
    </row>
    <row r="10" spans="1:20" ht="21" x14ac:dyDescent="0.35">
      <c r="A10" s="94" t="s">
        <v>29</v>
      </c>
      <c r="B10" s="95" t="str">
        <f>VLOOKUP(A10,'RT Calculator'!$K$2:$L$13,2,0)</f>
        <v>4 to 5</v>
      </c>
      <c r="C10" s="96"/>
      <c r="D10" s="96"/>
      <c r="E10" s="96"/>
      <c r="F10" s="96"/>
      <c r="G10" s="97">
        <f t="shared" si="5"/>
        <v>0</v>
      </c>
      <c r="H10" s="97" t="str">
        <f t="shared" si="0"/>
        <v>Even</v>
      </c>
      <c r="I10" s="98">
        <f t="shared" si="6"/>
        <v>0</v>
      </c>
      <c r="J10" s="98">
        <f t="shared" si="1"/>
        <v>0</v>
      </c>
      <c r="K10" s="98">
        <f t="shared" si="2"/>
        <v>0</v>
      </c>
      <c r="L10" s="98">
        <f t="shared" si="3"/>
        <v>0</v>
      </c>
      <c r="M10" s="98">
        <f>(116.8*D10*K10)+I10</f>
        <v>0</v>
      </c>
      <c r="N10" s="98">
        <f>(116.8*D10*L10)+J10</f>
        <v>0</v>
      </c>
      <c r="O10" s="99">
        <f t="shared" si="4"/>
        <v>0</v>
      </c>
      <c r="P10" s="99">
        <f t="shared" si="4"/>
        <v>0</v>
      </c>
      <c r="Q10" s="100">
        <f t="shared" si="7"/>
        <v>0</v>
      </c>
      <c r="R10" s="100">
        <f t="shared" si="8"/>
        <v>0</v>
      </c>
      <c r="S10" s="100">
        <f t="shared" si="9"/>
        <v>0</v>
      </c>
      <c r="T10" s="88" t="str">
        <f t="shared" si="10"/>
        <v>6"</v>
      </c>
    </row>
    <row r="11" spans="1:20" ht="21" x14ac:dyDescent="0.35">
      <c r="A11" s="94" t="s">
        <v>30</v>
      </c>
      <c r="B11" s="95" t="str">
        <f>VLOOKUP(A11,'RT Calculator'!$K$2:$L$13,2,0)</f>
        <v>5 to 6</v>
      </c>
      <c r="C11" s="96"/>
      <c r="D11" s="96"/>
      <c r="E11" s="96"/>
      <c r="F11" s="96"/>
      <c r="G11" s="97">
        <f t="shared" si="5"/>
        <v>0</v>
      </c>
      <c r="H11" s="97" t="str">
        <f t="shared" ref="H11:H12" si="18">IF(MOD(C11,2)=0,"Even","odd")</f>
        <v>Even</v>
      </c>
      <c r="I11" s="98">
        <f t="shared" ref="I11" si="19">K11*E11*25</f>
        <v>0</v>
      </c>
      <c r="J11" s="98">
        <f t="shared" ref="J11" si="20">L11*E11*25</f>
        <v>0</v>
      </c>
      <c r="K11" s="98">
        <f t="shared" ref="K11" si="21">IF(H11="EVEN",C11/2,IF(F11="Grey",(C11-1)/2+1,(C11-1)/2))</f>
        <v>0</v>
      </c>
      <c r="L11" s="98">
        <f t="shared" ref="L11" si="22">IF(H11="EVEN",C11/2,IF(F11="White",((C11-1)/2+1),(C11-1)/2))</f>
        <v>0</v>
      </c>
      <c r="M11" s="98">
        <f>(151.11*D11*K11)+I11</f>
        <v>0</v>
      </c>
      <c r="N11" s="98">
        <f>(151.11*D11*L11)+J11</f>
        <v>0</v>
      </c>
      <c r="O11" s="99">
        <f t="shared" ref="O11" si="23">ROUNDUP(M11/900,0)</f>
        <v>0</v>
      </c>
      <c r="P11" s="99">
        <f t="shared" ref="P11" si="24">ROUNDUP(N11/900,0)</f>
        <v>0</v>
      </c>
      <c r="Q11" s="100">
        <f t="shared" si="7"/>
        <v>0</v>
      </c>
      <c r="R11" s="100">
        <f t="shared" si="8"/>
        <v>0</v>
      </c>
      <c r="S11" s="100">
        <f t="shared" si="9"/>
        <v>0</v>
      </c>
      <c r="T11" s="88" t="str">
        <f t="shared" si="10"/>
        <v>8"</v>
      </c>
    </row>
    <row r="12" spans="1:20" ht="21" x14ac:dyDescent="0.35">
      <c r="A12" s="94" t="s">
        <v>52</v>
      </c>
      <c r="B12" s="95" t="str">
        <f>VLOOKUP(A12,'RT Calculator'!$K$2:$L$13,2,0)</f>
        <v>6 to 7</v>
      </c>
      <c r="C12" s="96"/>
      <c r="D12" s="96"/>
      <c r="E12" s="96"/>
      <c r="F12" s="96"/>
      <c r="G12" s="97">
        <f t="shared" si="5"/>
        <v>0</v>
      </c>
      <c r="H12" s="97" t="str">
        <f t="shared" si="18"/>
        <v>Even</v>
      </c>
      <c r="I12" s="98">
        <f t="shared" ref="I12" si="25">K12*E12*25</f>
        <v>0</v>
      </c>
      <c r="J12" s="98">
        <f t="shared" ref="J12" si="26">L12*E12*25</f>
        <v>0</v>
      </c>
      <c r="K12" s="98">
        <f t="shared" ref="K12" si="27">IF(H12="EVEN",C12/2,IF(F12="Grey",(C12-1)/2+1,(C12-1)/2))</f>
        <v>0</v>
      </c>
      <c r="L12" s="98">
        <f t="shared" ref="L12" si="28">IF(H12="EVEN",C12/2,IF(F12="White",((C12-1)/2+1),(C12-1)/2))</f>
        <v>0</v>
      </c>
      <c r="M12" s="98">
        <f>(191.26*D12*K12)+I12</f>
        <v>0</v>
      </c>
      <c r="N12" s="98">
        <f>(191.26*D12*L12)+J12</f>
        <v>0</v>
      </c>
      <c r="O12" s="99">
        <f t="shared" ref="O12" si="29">ROUNDUP(M12/900,0)</f>
        <v>0</v>
      </c>
      <c r="P12" s="99">
        <f t="shared" ref="P12" si="30">ROUNDUP(N12/900,0)</f>
        <v>0</v>
      </c>
      <c r="Q12" s="100">
        <f t="shared" si="7"/>
        <v>0</v>
      </c>
      <c r="R12" s="100">
        <f t="shared" si="8"/>
        <v>0</v>
      </c>
      <c r="S12" s="100">
        <f t="shared" si="9"/>
        <v>0</v>
      </c>
      <c r="T12" s="88" t="str">
        <f t="shared" si="10"/>
        <v>10"</v>
      </c>
    </row>
    <row r="13" spans="1:20" ht="21.75" thickBot="1" x14ac:dyDescent="0.4">
      <c r="A13" s="101" t="s">
        <v>53</v>
      </c>
      <c r="B13" s="102" t="str">
        <f>VLOOKUP(A13,'RT Calculator'!$K$2:$L$13,2,0)</f>
        <v>8 to 9</v>
      </c>
      <c r="C13" s="103"/>
      <c r="D13" s="103"/>
      <c r="E13" s="103"/>
      <c r="F13" s="103"/>
      <c r="G13" s="104">
        <f t="shared" si="5"/>
        <v>0</v>
      </c>
      <c r="H13" s="104" t="str">
        <f t="shared" si="0"/>
        <v>Even</v>
      </c>
      <c r="I13" s="105">
        <f t="shared" si="6"/>
        <v>0</v>
      </c>
      <c r="J13" s="105">
        <f t="shared" si="1"/>
        <v>0</v>
      </c>
      <c r="K13" s="105">
        <f t="shared" si="2"/>
        <v>0</v>
      </c>
      <c r="L13" s="105">
        <f t="shared" si="3"/>
        <v>0</v>
      </c>
      <c r="M13" s="105">
        <f>(172*D13*K13)+I13</f>
        <v>0</v>
      </c>
      <c r="N13" s="105">
        <f>(172*D13*L13)+J13</f>
        <v>0</v>
      </c>
      <c r="O13" s="106">
        <f t="shared" si="4"/>
        <v>0</v>
      </c>
      <c r="P13" s="99">
        <f t="shared" si="4"/>
        <v>0</v>
      </c>
      <c r="Q13" s="100">
        <f t="shared" si="7"/>
        <v>0</v>
      </c>
      <c r="R13" s="100">
        <f t="shared" si="8"/>
        <v>0</v>
      </c>
      <c r="S13" s="100">
        <f t="shared" si="9"/>
        <v>0</v>
      </c>
      <c r="T13" s="88" t="str">
        <f t="shared" si="10"/>
        <v>12"</v>
      </c>
    </row>
    <row r="14" spans="1:20" ht="15" customHeight="1" thickBot="1" x14ac:dyDescent="0.6">
      <c r="A14" s="54"/>
      <c r="B14" s="55"/>
      <c r="C14" s="56"/>
      <c r="D14" s="37"/>
      <c r="E14" s="37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170"/>
      <c r="Q14" s="170"/>
      <c r="R14" s="170"/>
      <c r="S14" s="171"/>
      <c r="T14" s="89"/>
    </row>
    <row r="15" spans="1:20" s="26" customFormat="1" ht="16.5" thickBot="1" x14ac:dyDescent="0.3">
      <c r="A15" s="194" t="s">
        <v>32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6"/>
      <c r="T15" s="91"/>
    </row>
    <row r="16" spans="1:20" s="26" customFormat="1" ht="33.75" x14ac:dyDescent="0.25">
      <c r="A16" s="47"/>
      <c r="B16" s="50"/>
      <c r="C16" s="201" t="s">
        <v>85</v>
      </c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2"/>
      <c r="T16" s="86"/>
    </row>
    <row r="17" spans="1:20" s="49" customFormat="1" ht="21" customHeight="1" thickBot="1" x14ac:dyDescent="0.3">
      <c r="A17" s="117"/>
      <c r="B17" s="52"/>
      <c r="C17" s="203" t="s">
        <v>2</v>
      </c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4"/>
      <c r="T17" s="90"/>
    </row>
    <row r="18" spans="1:20" ht="78" customHeight="1" thickBot="1" x14ac:dyDescent="0.3">
      <c r="A18" s="172" t="s">
        <v>34</v>
      </c>
      <c r="B18" s="173" t="s">
        <v>83</v>
      </c>
      <c r="C18" s="174" t="s">
        <v>5</v>
      </c>
      <c r="D18" s="174" t="s">
        <v>35</v>
      </c>
      <c r="E18" s="174" t="s">
        <v>36</v>
      </c>
      <c r="F18" s="20" t="s">
        <v>8</v>
      </c>
      <c r="G18" s="174" t="s">
        <v>55</v>
      </c>
      <c r="H18" s="174" t="s">
        <v>9</v>
      </c>
      <c r="I18" s="175" t="s">
        <v>10</v>
      </c>
      <c r="J18" s="175" t="s">
        <v>61</v>
      </c>
      <c r="K18" s="175" t="s">
        <v>56</v>
      </c>
      <c r="L18" s="175" t="s">
        <v>57</v>
      </c>
      <c r="M18" s="175" t="s">
        <v>62</v>
      </c>
      <c r="N18" s="175" t="s">
        <v>63</v>
      </c>
      <c r="O18" s="174" t="s">
        <v>64</v>
      </c>
      <c r="P18" s="174" t="s">
        <v>65</v>
      </c>
      <c r="Q18" s="174" t="s">
        <v>66</v>
      </c>
      <c r="R18" s="174" t="s">
        <v>67</v>
      </c>
      <c r="S18" s="176" t="s">
        <v>50</v>
      </c>
      <c r="T18" s="87" t="s">
        <v>60</v>
      </c>
    </row>
    <row r="19" spans="1:20" ht="21" x14ac:dyDescent="0.35">
      <c r="A19" s="108" t="s">
        <v>54</v>
      </c>
      <c r="B19" s="109">
        <f>VLOOKUP(A19,'RT Calculator'!$H$2:$I$13,2,0)</f>
        <v>2</v>
      </c>
      <c r="C19" s="110"/>
      <c r="D19" s="110"/>
      <c r="E19" s="110"/>
      <c r="F19" s="110"/>
      <c r="G19" s="111">
        <f>F19</f>
        <v>0</v>
      </c>
      <c r="H19" s="111" t="str">
        <f t="shared" ref="H19:H27" si="31">IF(MOD(C19,2)=0,"Even","odd")</f>
        <v>Even</v>
      </c>
      <c r="I19" s="112">
        <f>K19*(E19*3.28084)*25</f>
        <v>0</v>
      </c>
      <c r="J19" s="112">
        <f t="shared" ref="J19:J27" si="32">L19*(E19*3.28084)*25</f>
        <v>0</v>
      </c>
      <c r="K19" s="112">
        <f t="shared" ref="K19:K27" si="33">IF(H19="EVEN",C19/2,IF(F19="Grey",(C19-1)/2+1,(C19-1)/2))</f>
        <v>0</v>
      </c>
      <c r="L19" s="112">
        <f t="shared" ref="L19:L27" si="34">IF(H19="EVEN",C19/2,IF(F19="White",((C19-1)/2+1),(C19-1)/2))</f>
        <v>0</v>
      </c>
      <c r="M19" s="112">
        <f>(25.55*(D19*3.28084)*K19)+I19</f>
        <v>0</v>
      </c>
      <c r="N19" s="112">
        <f>(25.55*(D19*3.28084)*L19)+J19</f>
        <v>0</v>
      </c>
      <c r="O19" s="113">
        <f t="shared" ref="O19:P25" si="35">ROUNDUP(M19/900,0)</f>
        <v>0</v>
      </c>
      <c r="P19" s="113">
        <f t="shared" si="35"/>
        <v>0</v>
      </c>
      <c r="Q19" s="100">
        <f>ROUNDUP(O19/6,0)</f>
        <v>0</v>
      </c>
      <c r="R19" s="100">
        <f>ROUNDUP(P19/6,0)</f>
        <v>0</v>
      </c>
      <c r="S19" s="100">
        <f>ROUNDUP((MAX(O19,P19)/3),0)</f>
        <v>0</v>
      </c>
      <c r="T19" s="88" t="str">
        <f>A19</f>
        <v>32 mm</v>
      </c>
    </row>
    <row r="20" spans="1:20" ht="21" x14ac:dyDescent="0.35">
      <c r="A20" s="115" t="s">
        <v>37</v>
      </c>
      <c r="B20" s="95">
        <f>VLOOKUP(A20,'RT Calculator'!$H$2:$I$13,2,0)</f>
        <v>2</v>
      </c>
      <c r="C20" s="96"/>
      <c r="D20" s="96"/>
      <c r="E20" s="96"/>
      <c r="F20" s="96"/>
      <c r="G20" s="97">
        <f t="shared" ref="G20:G27" si="36">F20</f>
        <v>0</v>
      </c>
      <c r="H20" s="97" t="str">
        <f t="shared" si="31"/>
        <v>Even</v>
      </c>
      <c r="I20" s="98">
        <f t="shared" ref="I20:I27" si="37">K20*(E20*3.28084)*25</f>
        <v>0</v>
      </c>
      <c r="J20" s="98">
        <f>L20*(E20*3.28084)*25</f>
        <v>0</v>
      </c>
      <c r="K20" s="98">
        <f t="shared" si="33"/>
        <v>0</v>
      </c>
      <c r="L20" s="98">
        <f t="shared" si="34"/>
        <v>0</v>
      </c>
      <c r="M20" s="98">
        <f>(31.39*(D20*3.28084)*K20)+I20</f>
        <v>0</v>
      </c>
      <c r="N20" s="98">
        <f>(31.39*(D20*3.28084)*L20)+J20</f>
        <v>0</v>
      </c>
      <c r="O20" s="99">
        <f t="shared" si="35"/>
        <v>0</v>
      </c>
      <c r="P20" s="99">
        <f t="shared" si="35"/>
        <v>0</v>
      </c>
      <c r="Q20" s="100">
        <f t="shared" ref="Q20:Q29" si="38">ROUNDUP(O20/6,0)</f>
        <v>0</v>
      </c>
      <c r="R20" s="100">
        <f t="shared" ref="R20:R29" si="39">ROUNDUP(P20/6,0)</f>
        <v>0</v>
      </c>
      <c r="S20" s="100">
        <f t="shared" ref="S20:S29" si="40">ROUNDUP((MAX(O20,P20)/3),0)</f>
        <v>0</v>
      </c>
      <c r="T20" s="88" t="str">
        <f t="shared" ref="T20:T27" si="41">A20</f>
        <v>38 mm</v>
      </c>
    </row>
    <row r="21" spans="1:20" ht="21" x14ac:dyDescent="0.35">
      <c r="A21" s="115" t="s">
        <v>38</v>
      </c>
      <c r="B21" s="95">
        <f>VLOOKUP(A21,'RT Calculator'!$H$2:$I$13,2,0)</f>
        <v>2</v>
      </c>
      <c r="C21" s="96"/>
      <c r="D21" s="96"/>
      <c r="E21" s="96"/>
      <c r="F21" s="96"/>
      <c r="G21" s="97">
        <f t="shared" si="36"/>
        <v>0</v>
      </c>
      <c r="H21" s="97" t="str">
        <f t="shared" si="31"/>
        <v>Even</v>
      </c>
      <c r="I21" s="98">
        <f>K21*(E21*3.28084)*25</f>
        <v>0</v>
      </c>
      <c r="J21" s="98">
        <f t="shared" si="32"/>
        <v>0</v>
      </c>
      <c r="K21" s="98">
        <f t="shared" si="33"/>
        <v>0</v>
      </c>
      <c r="L21" s="98">
        <f t="shared" si="34"/>
        <v>0</v>
      </c>
      <c r="M21" s="98">
        <f>(40.15*(D21*3.28084)*K21)+I21</f>
        <v>0</v>
      </c>
      <c r="N21" s="98">
        <f>(40.15*(D21*3.28084)*L21)+J21</f>
        <v>0</v>
      </c>
      <c r="O21" s="99">
        <f t="shared" si="35"/>
        <v>0</v>
      </c>
      <c r="P21" s="99">
        <f t="shared" si="35"/>
        <v>0</v>
      </c>
      <c r="Q21" s="100">
        <f t="shared" si="38"/>
        <v>0</v>
      </c>
      <c r="R21" s="100">
        <f t="shared" si="39"/>
        <v>0</v>
      </c>
      <c r="S21" s="100">
        <f t="shared" si="40"/>
        <v>0</v>
      </c>
      <c r="T21" s="88" t="str">
        <f t="shared" si="41"/>
        <v>50 mm</v>
      </c>
    </row>
    <row r="22" spans="1:20" ht="21" x14ac:dyDescent="0.35">
      <c r="A22" s="115" t="s">
        <v>39</v>
      </c>
      <c r="B22" s="95">
        <f>VLOOKUP(A22,'RT Calculator'!$H$2:$I$13,2,0)</f>
        <v>2</v>
      </c>
      <c r="C22" s="96"/>
      <c r="D22" s="96"/>
      <c r="E22" s="96"/>
      <c r="F22" s="96"/>
      <c r="G22" s="97">
        <f t="shared" si="36"/>
        <v>0</v>
      </c>
      <c r="H22" s="97" t="str">
        <f t="shared" si="31"/>
        <v>Even</v>
      </c>
      <c r="I22" s="98">
        <f t="shared" si="37"/>
        <v>0</v>
      </c>
      <c r="J22" s="98">
        <f t="shared" si="32"/>
        <v>0</v>
      </c>
      <c r="K22" s="98">
        <f t="shared" si="33"/>
        <v>0</v>
      </c>
      <c r="L22" s="98">
        <f t="shared" si="34"/>
        <v>0</v>
      </c>
      <c r="M22" s="98">
        <f>(47.231*(D22*3.28084)*K22)+I22</f>
        <v>0</v>
      </c>
      <c r="N22" s="98">
        <f>(47.231*(D22*3.28084)*L22)+J22</f>
        <v>0</v>
      </c>
      <c r="O22" s="99">
        <f t="shared" si="35"/>
        <v>0</v>
      </c>
      <c r="P22" s="99">
        <f t="shared" si="35"/>
        <v>0</v>
      </c>
      <c r="Q22" s="100">
        <f t="shared" si="38"/>
        <v>0</v>
      </c>
      <c r="R22" s="100">
        <f t="shared" si="39"/>
        <v>0</v>
      </c>
      <c r="S22" s="100">
        <f t="shared" si="40"/>
        <v>0</v>
      </c>
      <c r="T22" s="88" t="str">
        <f t="shared" si="41"/>
        <v>63 mm</v>
      </c>
    </row>
    <row r="23" spans="1:20" ht="21" x14ac:dyDescent="0.35">
      <c r="A23" s="115" t="s">
        <v>40</v>
      </c>
      <c r="B23" s="95" t="str">
        <f>VLOOKUP(A23,'RT Calculator'!$H$2:$I$13,2,0)</f>
        <v>3 to 4</v>
      </c>
      <c r="C23" s="96"/>
      <c r="D23" s="96"/>
      <c r="E23" s="96"/>
      <c r="F23" s="96"/>
      <c r="G23" s="97">
        <f t="shared" si="36"/>
        <v>0</v>
      </c>
      <c r="H23" s="97" t="str">
        <f t="shared" si="31"/>
        <v>Even</v>
      </c>
      <c r="I23" s="98">
        <f t="shared" si="37"/>
        <v>0</v>
      </c>
      <c r="J23" s="98">
        <f t="shared" si="32"/>
        <v>0</v>
      </c>
      <c r="K23" s="98">
        <f t="shared" si="33"/>
        <v>0</v>
      </c>
      <c r="L23" s="98">
        <f t="shared" si="34"/>
        <v>0</v>
      </c>
      <c r="M23" s="98">
        <f>(58.692*(D23*3.28084)*K23)+I23</f>
        <v>0</v>
      </c>
      <c r="N23" s="98">
        <f>(58.692*(D23*3.28084)*L23)+J23</f>
        <v>0</v>
      </c>
      <c r="O23" s="99">
        <f t="shared" si="35"/>
        <v>0</v>
      </c>
      <c r="P23" s="99">
        <f t="shared" si="35"/>
        <v>0</v>
      </c>
      <c r="Q23" s="100">
        <f t="shared" si="38"/>
        <v>0</v>
      </c>
      <c r="R23" s="100">
        <f t="shared" si="39"/>
        <v>0</v>
      </c>
      <c r="S23" s="100">
        <f t="shared" si="40"/>
        <v>0</v>
      </c>
      <c r="T23" s="88" t="str">
        <f t="shared" si="41"/>
        <v>75 mm</v>
      </c>
    </row>
    <row r="24" spans="1:20" ht="21" x14ac:dyDescent="0.35">
      <c r="A24" s="115" t="s">
        <v>41</v>
      </c>
      <c r="B24" s="95" t="str">
        <f>VLOOKUP(A24,'RT Calculator'!$H$2:$I$13,2,0)</f>
        <v>3 to 4</v>
      </c>
      <c r="C24" s="96"/>
      <c r="D24" s="96"/>
      <c r="E24" s="96"/>
      <c r="F24" s="96"/>
      <c r="G24" s="97">
        <f t="shared" si="36"/>
        <v>0</v>
      </c>
      <c r="H24" s="97" t="str">
        <f t="shared" si="31"/>
        <v>Even</v>
      </c>
      <c r="I24" s="98">
        <f t="shared" si="37"/>
        <v>0</v>
      </c>
      <c r="J24" s="98">
        <f t="shared" si="32"/>
        <v>0</v>
      </c>
      <c r="K24" s="98">
        <f t="shared" si="33"/>
        <v>0</v>
      </c>
      <c r="L24" s="98">
        <f t="shared" si="34"/>
        <v>0</v>
      </c>
      <c r="M24" s="98">
        <f>(76.869*(D24*3.28084)*K24)+I24</f>
        <v>0</v>
      </c>
      <c r="N24" s="98">
        <f>(76.869*(D24*3.28084)*L24)+J24</f>
        <v>0</v>
      </c>
      <c r="O24" s="99">
        <f t="shared" si="35"/>
        <v>0</v>
      </c>
      <c r="P24" s="99">
        <f t="shared" si="35"/>
        <v>0</v>
      </c>
      <c r="Q24" s="100">
        <f t="shared" si="38"/>
        <v>0</v>
      </c>
      <c r="R24" s="100">
        <f t="shared" si="39"/>
        <v>0</v>
      </c>
      <c r="S24" s="100">
        <f t="shared" si="40"/>
        <v>0</v>
      </c>
      <c r="T24" s="88" t="str">
        <f t="shared" si="41"/>
        <v>100 mm</v>
      </c>
    </row>
    <row r="25" spans="1:20" ht="21" x14ac:dyDescent="0.35">
      <c r="A25" s="115" t="s">
        <v>43</v>
      </c>
      <c r="B25" s="95" t="str">
        <f>VLOOKUP(A25,'RT Calculator'!$H$2:$I$13,2,0)</f>
        <v>4 to 5</v>
      </c>
      <c r="C25" s="96"/>
      <c r="D25" s="96"/>
      <c r="E25" s="96"/>
      <c r="F25" s="96"/>
      <c r="G25" s="97">
        <f t="shared" si="36"/>
        <v>0</v>
      </c>
      <c r="H25" s="97" t="str">
        <f t="shared" si="31"/>
        <v>Even</v>
      </c>
      <c r="I25" s="98">
        <f t="shared" si="37"/>
        <v>0</v>
      </c>
      <c r="J25" s="98">
        <f t="shared" si="32"/>
        <v>0</v>
      </c>
      <c r="K25" s="98">
        <f t="shared" si="33"/>
        <v>0</v>
      </c>
      <c r="L25" s="98">
        <f t="shared" si="34"/>
        <v>0</v>
      </c>
      <c r="M25" s="98">
        <f>(116.22*(D25*3.28084)*K25)+I25</f>
        <v>0</v>
      </c>
      <c r="N25" s="98">
        <f>(116.07*(D25*3.28084)*L25)+J25</f>
        <v>0</v>
      </c>
      <c r="O25" s="99">
        <f t="shared" si="35"/>
        <v>0</v>
      </c>
      <c r="P25" s="99">
        <f t="shared" si="35"/>
        <v>0</v>
      </c>
      <c r="Q25" s="100">
        <f t="shared" si="38"/>
        <v>0</v>
      </c>
      <c r="R25" s="100">
        <f t="shared" si="39"/>
        <v>0</v>
      </c>
      <c r="S25" s="100">
        <f t="shared" si="40"/>
        <v>0</v>
      </c>
      <c r="T25" s="88" t="str">
        <f t="shared" si="41"/>
        <v>150 mm</v>
      </c>
    </row>
    <row r="26" spans="1:20" ht="21" x14ac:dyDescent="0.35">
      <c r="A26" s="94" t="s">
        <v>44</v>
      </c>
      <c r="B26" s="95" t="str">
        <f>VLOOKUP(A26,'RT Calculator'!$H$2:$I$13,2,0)</f>
        <v>5 to 6</v>
      </c>
      <c r="C26" s="96"/>
      <c r="D26" s="96"/>
      <c r="E26" s="96"/>
      <c r="F26" s="96"/>
      <c r="G26" s="97">
        <f t="shared" si="36"/>
        <v>0</v>
      </c>
      <c r="H26" s="97" t="str">
        <f t="shared" si="31"/>
        <v>Even</v>
      </c>
      <c r="I26" s="98">
        <f t="shared" si="37"/>
        <v>0</v>
      </c>
      <c r="J26" s="98">
        <f t="shared" si="32"/>
        <v>0</v>
      </c>
      <c r="K26" s="98">
        <f t="shared" si="33"/>
        <v>0</v>
      </c>
      <c r="L26" s="98">
        <f t="shared" si="34"/>
        <v>0</v>
      </c>
      <c r="M26" s="98">
        <f>(151.11*(D26*3.28084)*K26)+I26</f>
        <v>0</v>
      </c>
      <c r="N26" s="98">
        <f>(151.11*(D26*3.28084)*L26)+J26</f>
        <v>0</v>
      </c>
      <c r="O26" s="99">
        <f t="shared" ref="O26:O27" si="42">ROUNDUP(M26/900,0)</f>
        <v>0</v>
      </c>
      <c r="P26" s="99">
        <f t="shared" ref="P26:P27" si="43">ROUNDUP(N26/900,0)</f>
        <v>0</v>
      </c>
      <c r="Q26" s="100">
        <f t="shared" si="38"/>
        <v>0</v>
      </c>
      <c r="R26" s="100">
        <f t="shared" si="39"/>
        <v>0</v>
      </c>
      <c r="S26" s="100">
        <f t="shared" si="40"/>
        <v>0</v>
      </c>
      <c r="T26" s="88" t="str">
        <f t="shared" si="41"/>
        <v>200 mm</v>
      </c>
    </row>
    <row r="27" spans="1:20" ht="21" x14ac:dyDescent="0.35">
      <c r="A27" s="115" t="s">
        <v>68</v>
      </c>
      <c r="B27" s="95" t="str">
        <f>VLOOKUP(A27,'RT Calculator'!$H$2:$I$13,2,0)</f>
        <v>6 to 7</v>
      </c>
      <c r="C27" s="96"/>
      <c r="D27" s="96"/>
      <c r="E27" s="96"/>
      <c r="F27" s="96"/>
      <c r="G27" s="97">
        <f t="shared" si="36"/>
        <v>0</v>
      </c>
      <c r="H27" s="97" t="str">
        <f t="shared" si="31"/>
        <v>Even</v>
      </c>
      <c r="I27" s="98">
        <f t="shared" si="37"/>
        <v>0</v>
      </c>
      <c r="J27" s="98">
        <f t="shared" si="32"/>
        <v>0</v>
      </c>
      <c r="K27" s="98">
        <f t="shared" si="33"/>
        <v>0</v>
      </c>
      <c r="L27" s="98">
        <f t="shared" si="34"/>
        <v>0</v>
      </c>
      <c r="M27" s="98">
        <f>(172*(D27*3.28084)*K27)+I27</f>
        <v>0</v>
      </c>
      <c r="N27" s="98">
        <f>(172*(D27*3.28084)*L27)+J27</f>
        <v>0</v>
      </c>
      <c r="O27" s="99">
        <f t="shared" si="42"/>
        <v>0</v>
      </c>
      <c r="P27" s="99">
        <f t="shared" si="43"/>
        <v>0</v>
      </c>
      <c r="Q27" s="100">
        <f t="shared" si="38"/>
        <v>0</v>
      </c>
      <c r="R27" s="100">
        <f t="shared" si="39"/>
        <v>0</v>
      </c>
      <c r="S27" s="100">
        <f t="shared" si="40"/>
        <v>0</v>
      </c>
      <c r="T27" s="88" t="str">
        <f t="shared" si="41"/>
        <v>225 mm</v>
      </c>
    </row>
    <row r="28" spans="1:20" ht="21" x14ac:dyDescent="0.35">
      <c r="A28" s="115" t="s">
        <v>69</v>
      </c>
      <c r="B28" s="95" t="str">
        <f>VLOOKUP(A28,'RT Calculator'!$H$2:$I$13,2,0)</f>
        <v>6 to 7</v>
      </c>
      <c r="C28" s="96"/>
      <c r="D28" s="96"/>
      <c r="E28" s="96"/>
      <c r="F28" s="96"/>
      <c r="G28" s="97">
        <f t="shared" ref="G28:G29" si="44">F28</f>
        <v>0</v>
      </c>
      <c r="H28" s="97" t="str">
        <f t="shared" ref="H28:H29" si="45">IF(MOD(C28,2)=0,"Even","odd")</f>
        <v>Even</v>
      </c>
      <c r="I28" s="98">
        <f t="shared" ref="I28:I29" si="46">K28*(E28*3.28084)*25</f>
        <v>0</v>
      </c>
      <c r="J28" s="98">
        <f t="shared" ref="J28:J29" si="47">L28*(E28*3.28084)*25</f>
        <v>0</v>
      </c>
      <c r="K28" s="98">
        <f t="shared" ref="K28:K29" si="48">IF(H28="EVEN",C28/2,IF(F28="Grey",(C28-1)/2+1,(C28-1)/2))</f>
        <v>0</v>
      </c>
      <c r="L28" s="98">
        <f t="shared" ref="L28:L29" si="49">IF(H28="EVEN",C28/2,IF(F28="White",((C28-1)/2+1),(C28-1)/2))</f>
        <v>0</v>
      </c>
      <c r="M28" s="98">
        <f>(191.26*(D28*3.28084)*K28)+I28</f>
        <v>0</v>
      </c>
      <c r="N28" s="98">
        <f>(191.26*(D28*3.28084)*L28)+J28</f>
        <v>0</v>
      </c>
      <c r="O28" s="99">
        <f t="shared" ref="O28:O29" si="50">ROUNDUP(M28/900,0)</f>
        <v>0</v>
      </c>
      <c r="P28" s="99">
        <f t="shared" ref="P28:P29" si="51">ROUNDUP(N28/900,0)</f>
        <v>0</v>
      </c>
      <c r="Q28" s="100">
        <f t="shared" si="38"/>
        <v>0</v>
      </c>
      <c r="R28" s="100">
        <f t="shared" si="39"/>
        <v>0</v>
      </c>
      <c r="S28" s="100">
        <f t="shared" si="40"/>
        <v>0</v>
      </c>
      <c r="T28" s="88" t="str">
        <f t="shared" ref="T28:T29" si="52">A28</f>
        <v>250 mm</v>
      </c>
    </row>
    <row r="29" spans="1:20" ht="21.75" thickBot="1" x14ac:dyDescent="0.4">
      <c r="A29" s="116" t="s">
        <v>45</v>
      </c>
      <c r="B29" s="102" t="str">
        <f>VLOOKUP(A29,'RT Calculator'!$H$2:$I$13,2,0)</f>
        <v>8 to 9</v>
      </c>
      <c r="C29" s="103"/>
      <c r="D29" s="103"/>
      <c r="E29" s="103"/>
      <c r="F29" s="103"/>
      <c r="G29" s="104">
        <f t="shared" si="44"/>
        <v>0</v>
      </c>
      <c r="H29" s="104" t="str">
        <f t="shared" si="45"/>
        <v>Even</v>
      </c>
      <c r="I29" s="105">
        <f t="shared" si="46"/>
        <v>0</v>
      </c>
      <c r="J29" s="105">
        <f t="shared" si="47"/>
        <v>0</v>
      </c>
      <c r="K29" s="105">
        <f t="shared" si="48"/>
        <v>0</v>
      </c>
      <c r="L29" s="105">
        <f t="shared" si="49"/>
        <v>0</v>
      </c>
      <c r="M29" s="105">
        <f>(229.22*(D29*3.28084)*K29)+I29</f>
        <v>0</v>
      </c>
      <c r="N29" s="105">
        <f>(229.22*(D29*3.28084)*L29)+J29</f>
        <v>0</v>
      </c>
      <c r="O29" s="106">
        <f t="shared" si="50"/>
        <v>0</v>
      </c>
      <c r="P29" s="106">
        <f t="shared" si="51"/>
        <v>0</v>
      </c>
      <c r="Q29" s="100">
        <f t="shared" si="38"/>
        <v>0</v>
      </c>
      <c r="R29" s="100">
        <f t="shared" si="39"/>
        <v>0</v>
      </c>
      <c r="S29" s="100">
        <f t="shared" si="40"/>
        <v>0</v>
      </c>
      <c r="T29" s="92" t="str">
        <f t="shared" si="52"/>
        <v>300 mm</v>
      </c>
    </row>
    <row r="30" spans="1:20" s="26" customFormat="1" ht="16.5" thickBot="1" x14ac:dyDescent="0.3">
      <c r="A30" s="183" t="s">
        <v>32</v>
      </c>
      <c r="B30" s="184"/>
      <c r="C30" s="184"/>
      <c r="D30" s="184"/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5"/>
      <c r="T30" s="93"/>
    </row>
    <row r="31" spans="1:20" s="26" customFormat="1" ht="26.25" x14ac:dyDescent="0.4">
      <c r="C31" s="57"/>
      <c r="T31" s="48"/>
    </row>
    <row r="32" spans="1:20" s="26" customFormat="1" x14ac:dyDescent="0.25">
      <c r="T32" s="48"/>
    </row>
    <row r="33" spans="20:20" s="26" customFormat="1" x14ac:dyDescent="0.25">
      <c r="T33" s="48"/>
    </row>
    <row r="34" spans="20:20" s="26" customFormat="1" x14ac:dyDescent="0.25">
      <c r="T34" s="48"/>
    </row>
    <row r="35" spans="20:20" s="26" customFormat="1" x14ac:dyDescent="0.25">
      <c r="T35" s="48"/>
    </row>
    <row r="36" spans="20:20" s="26" customFormat="1" x14ac:dyDescent="0.25">
      <c r="T36" s="48"/>
    </row>
    <row r="37" spans="20:20" s="26" customFormat="1" x14ac:dyDescent="0.25">
      <c r="T37" s="48"/>
    </row>
    <row r="38" spans="20:20" s="26" customFormat="1" x14ac:dyDescent="0.25">
      <c r="T38" s="48"/>
    </row>
    <row r="39" spans="20:20" s="26" customFormat="1" x14ac:dyDescent="0.25">
      <c r="T39" s="48"/>
    </row>
    <row r="40" spans="20:20" s="26" customFormat="1" x14ac:dyDescent="0.25">
      <c r="T40" s="48"/>
    </row>
    <row r="41" spans="20:20" s="26" customFormat="1" x14ac:dyDescent="0.25">
      <c r="T41" s="48"/>
    </row>
    <row r="42" spans="20:20" s="26" customFormat="1" x14ac:dyDescent="0.25">
      <c r="T42" s="48"/>
    </row>
    <row r="43" spans="20:20" s="26" customFormat="1" x14ac:dyDescent="0.25">
      <c r="T43" s="48"/>
    </row>
    <row r="44" spans="20:20" s="26" customFormat="1" x14ac:dyDescent="0.25">
      <c r="T44" s="48"/>
    </row>
    <row r="45" spans="20:20" s="26" customFormat="1" x14ac:dyDescent="0.25">
      <c r="T45" s="48"/>
    </row>
    <row r="46" spans="20:20" s="26" customFormat="1" x14ac:dyDescent="0.25">
      <c r="T46" s="48"/>
    </row>
    <row r="47" spans="20:20" s="26" customFormat="1" x14ac:dyDescent="0.25">
      <c r="T47" s="48"/>
    </row>
    <row r="48" spans="20:20" s="26" customFormat="1" x14ac:dyDescent="0.25">
      <c r="T48" s="48"/>
    </row>
    <row r="49" spans="20:20" s="26" customFormat="1" x14ac:dyDescent="0.25">
      <c r="T49" s="48"/>
    </row>
    <row r="50" spans="20:20" s="26" customFormat="1" x14ac:dyDescent="0.25">
      <c r="T50" s="48"/>
    </row>
    <row r="51" spans="20:20" s="26" customFormat="1" x14ac:dyDescent="0.25">
      <c r="T51" s="48"/>
    </row>
    <row r="52" spans="20:20" s="26" customFormat="1" x14ac:dyDescent="0.25">
      <c r="T52" s="48"/>
    </row>
    <row r="53" spans="20:20" s="26" customFormat="1" x14ac:dyDescent="0.25">
      <c r="T53" s="48"/>
    </row>
    <row r="54" spans="20:20" s="26" customFormat="1" x14ac:dyDescent="0.25">
      <c r="T54" s="48"/>
    </row>
    <row r="55" spans="20:20" s="26" customFormat="1" x14ac:dyDescent="0.25">
      <c r="T55" s="48"/>
    </row>
    <row r="56" spans="20:20" s="26" customFormat="1" x14ac:dyDescent="0.25">
      <c r="T56" s="48"/>
    </row>
    <row r="57" spans="20:20" s="26" customFormat="1" x14ac:dyDescent="0.25">
      <c r="T57" s="48"/>
    </row>
    <row r="58" spans="20:20" s="26" customFormat="1" x14ac:dyDescent="0.25">
      <c r="T58" s="48"/>
    </row>
    <row r="59" spans="20:20" s="26" customFormat="1" x14ac:dyDescent="0.25">
      <c r="T59" s="48"/>
    </row>
    <row r="60" spans="20:20" s="26" customFormat="1" x14ac:dyDescent="0.25">
      <c r="T60" s="48"/>
    </row>
    <row r="61" spans="20:20" s="26" customFormat="1" x14ac:dyDescent="0.25">
      <c r="T61" s="48"/>
    </row>
    <row r="62" spans="20:20" s="26" customFormat="1" x14ac:dyDescent="0.25">
      <c r="T62" s="48"/>
    </row>
    <row r="63" spans="20:20" s="26" customFormat="1" x14ac:dyDescent="0.25">
      <c r="T63" s="48"/>
    </row>
    <row r="64" spans="20:20" s="26" customFormat="1" x14ac:dyDescent="0.25">
      <c r="T64" s="48"/>
    </row>
    <row r="65" spans="20:20" s="26" customFormat="1" x14ac:dyDescent="0.25">
      <c r="T65" s="48"/>
    </row>
    <row r="66" spans="20:20" s="26" customFormat="1" x14ac:dyDescent="0.25">
      <c r="T66" s="48"/>
    </row>
    <row r="67" spans="20:20" s="26" customFormat="1" x14ac:dyDescent="0.25">
      <c r="T67" s="48"/>
    </row>
    <row r="68" spans="20:20" s="26" customFormat="1" x14ac:dyDescent="0.25">
      <c r="T68" s="48"/>
    </row>
    <row r="69" spans="20:20" s="26" customFormat="1" x14ac:dyDescent="0.25">
      <c r="T69" s="48"/>
    </row>
    <row r="70" spans="20:20" s="26" customFormat="1" x14ac:dyDescent="0.25">
      <c r="T70" s="48"/>
    </row>
    <row r="71" spans="20:20" s="26" customFormat="1" x14ac:dyDescent="0.25">
      <c r="T71" s="48"/>
    </row>
    <row r="72" spans="20:20" s="26" customFormat="1" x14ac:dyDescent="0.25">
      <c r="T72" s="48"/>
    </row>
    <row r="73" spans="20:20" s="26" customFormat="1" x14ac:dyDescent="0.25">
      <c r="T73" s="48"/>
    </row>
    <row r="74" spans="20:20" s="26" customFormat="1" x14ac:dyDescent="0.25">
      <c r="T74" s="48"/>
    </row>
    <row r="75" spans="20:20" s="26" customFormat="1" x14ac:dyDescent="0.25">
      <c r="T75" s="48"/>
    </row>
    <row r="76" spans="20:20" s="26" customFormat="1" x14ac:dyDescent="0.25">
      <c r="T76" s="48"/>
    </row>
    <row r="77" spans="20:20" s="26" customFormat="1" x14ac:dyDescent="0.25">
      <c r="T77" s="48"/>
    </row>
    <row r="78" spans="20:20" s="26" customFormat="1" x14ac:dyDescent="0.25">
      <c r="T78" s="48"/>
    </row>
    <row r="79" spans="20:20" s="26" customFormat="1" x14ac:dyDescent="0.25">
      <c r="T79" s="48"/>
    </row>
    <row r="80" spans="20:20" s="26" customFormat="1" x14ac:dyDescent="0.25">
      <c r="T80" s="48"/>
    </row>
    <row r="81" spans="20:20" s="26" customFormat="1" x14ac:dyDescent="0.25">
      <c r="T81" s="48"/>
    </row>
    <row r="82" spans="20:20" s="26" customFormat="1" x14ac:dyDescent="0.25">
      <c r="T82" s="48"/>
    </row>
    <row r="83" spans="20:20" s="26" customFormat="1" x14ac:dyDescent="0.25">
      <c r="T83" s="48"/>
    </row>
    <row r="84" spans="20:20" s="26" customFormat="1" x14ac:dyDescent="0.25">
      <c r="T84" s="48"/>
    </row>
    <row r="85" spans="20:20" s="26" customFormat="1" x14ac:dyDescent="0.25">
      <c r="T85" s="48"/>
    </row>
    <row r="86" spans="20:20" s="26" customFormat="1" x14ac:dyDescent="0.25">
      <c r="T86" s="48"/>
    </row>
    <row r="87" spans="20:20" s="26" customFormat="1" x14ac:dyDescent="0.25">
      <c r="T87" s="48"/>
    </row>
    <row r="88" spans="20:20" s="26" customFormat="1" x14ac:dyDescent="0.25">
      <c r="T88" s="48"/>
    </row>
    <row r="89" spans="20:20" s="26" customFormat="1" x14ac:dyDescent="0.25">
      <c r="T89" s="48"/>
    </row>
    <row r="90" spans="20:20" s="26" customFormat="1" x14ac:dyDescent="0.25">
      <c r="T90" s="48"/>
    </row>
    <row r="91" spans="20:20" s="26" customFormat="1" x14ac:dyDescent="0.25">
      <c r="T91" s="48"/>
    </row>
    <row r="92" spans="20:20" s="26" customFormat="1" x14ac:dyDescent="0.25">
      <c r="T92" s="48"/>
    </row>
    <row r="93" spans="20:20" s="26" customFormat="1" x14ac:dyDescent="0.25">
      <c r="T93" s="48"/>
    </row>
    <row r="94" spans="20:20" s="26" customFormat="1" x14ac:dyDescent="0.25">
      <c r="T94" s="48"/>
    </row>
    <row r="95" spans="20:20" s="26" customFormat="1" x14ac:dyDescent="0.25">
      <c r="T95" s="48"/>
    </row>
    <row r="96" spans="20:20" s="26" customFormat="1" x14ac:dyDescent="0.25">
      <c r="T96" s="48"/>
    </row>
    <row r="97" spans="20:20" s="26" customFormat="1" x14ac:dyDescent="0.25">
      <c r="T97" s="48"/>
    </row>
    <row r="98" spans="20:20" s="26" customFormat="1" x14ac:dyDescent="0.25">
      <c r="T98" s="48"/>
    </row>
    <row r="99" spans="20:20" s="26" customFormat="1" x14ac:dyDescent="0.25">
      <c r="T99" s="48"/>
    </row>
    <row r="100" spans="20:20" s="26" customFormat="1" x14ac:dyDescent="0.25">
      <c r="T100" s="48"/>
    </row>
    <row r="101" spans="20:20" s="26" customFormat="1" x14ac:dyDescent="0.25">
      <c r="T101" s="48"/>
    </row>
    <row r="102" spans="20:20" s="26" customFormat="1" x14ac:dyDescent="0.25">
      <c r="T102" s="48"/>
    </row>
    <row r="103" spans="20:20" s="26" customFormat="1" x14ac:dyDescent="0.25">
      <c r="T103" s="48"/>
    </row>
    <row r="104" spans="20:20" s="26" customFormat="1" x14ac:dyDescent="0.25">
      <c r="T104" s="48"/>
    </row>
    <row r="105" spans="20:20" s="26" customFormat="1" x14ac:dyDescent="0.25">
      <c r="T105" s="48"/>
    </row>
    <row r="106" spans="20:20" s="26" customFormat="1" x14ac:dyDescent="0.25">
      <c r="T106" s="48"/>
    </row>
    <row r="107" spans="20:20" s="26" customFormat="1" x14ac:dyDescent="0.25">
      <c r="T107" s="48"/>
    </row>
    <row r="108" spans="20:20" s="26" customFormat="1" x14ac:dyDescent="0.25">
      <c r="T108" s="48"/>
    </row>
    <row r="109" spans="20:20" s="26" customFormat="1" x14ac:dyDescent="0.25">
      <c r="T109" s="48"/>
    </row>
    <row r="110" spans="20:20" s="26" customFormat="1" x14ac:dyDescent="0.25">
      <c r="T110" s="48"/>
    </row>
    <row r="111" spans="20:20" s="26" customFormat="1" x14ac:dyDescent="0.25">
      <c r="T111" s="48"/>
    </row>
    <row r="112" spans="20:20" s="26" customFormat="1" x14ac:dyDescent="0.25">
      <c r="T112" s="48"/>
    </row>
    <row r="113" spans="20:20" s="26" customFormat="1" x14ac:dyDescent="0.25">
      <c r="T113" s="48"/>
    </row>
    <row r="114" spans="20:20" s="26" customFormat="1" x14ac:dyDescent="0.25">
      <c r="T114" s="48"/>
    </row>
    <row r="115" spans="20:20" s="26" customFormat="1" x14ac:dyDescent="0.25">
      <c r="T115" s="48"/>
    </row>
    <row r="116" spans="20:20" s="26" customFormat="1" x14ac:dyDescent="0.25">
      <c r="T116" s="48"/>
    </row>
    <row r="117" spans="20:20" s="26" customFormat="1" x14ac:dyDescent="0.25">
      <c r="T117" s="48"/>
    </row>
    <row r="118" spans="20:20" s="26" customFormat="1" x14ac:dyDescent="0.25">
      <c r="T118" s="48"/>
    </row>
    <row r="119" spans="20:20" s="26" customFormat="1" x14ac:dyDescent="0.25">
      <c r="T119" s="48"/>
    </row>
    <row r="120" spans="20:20" s="26" customFormat="1" x14ac:dyDescent="0.25">
      <c r="T120" s="48"/>
    </row>
    <row r="121" spans="20:20" s="26" customFormat="1" x14ac:dyDescent="0.25">
      <c r="T121" s="48"/>
    </row>
    <row r="122" spans="20:20" s="26" customFormat="1" x14ac:dyDescent="0.25">
      <c r="T122" s="48"/>
    </row>
    <row r="123" spans="20:20" s="26" customFormat="1" x14ac:dyDescent="0.25">
      <c r="T123" s="48"/>
    </row>
    <row r="124" spans="20:20" s="26" customFormat="1" x14ac:dyDescent="0.25">
      <c r="T124" s="48"/>
    </row>
    <row r="125" spans="20:20" s="26" customFormat="1" x14ac:dyDescent="0.25">
      <c r="T125" s="48"/>
    </row>
    <row r="126" spans="20:20" s="26" customFormat="1" x14ac:dyDescent="0.25">
      <c r="T126" s="48"/>
    </row>
    <row r="127" spans="20:20" s="26" customFormat="1" x14ac:dyDescent="0.25">
      <c r="T127" s="48"/>
    </row>
    <row r="128" spans="20:20" s="26" customFormat="1" x14ac:dyDescent="0.25">
      <c r="T128" s="48"/>
    </row>
    <row r="129" spans="20:20" s="26" customFormat="1" x14ac:dyDescent="0.25">
      <c r="T129" s="48"/>
    </row>
    <row r="130" spans="20:20" s="26" customFormat="1" x14ac:dyDescent="0.25">
      <c r="T130" s="48"/>
    </row>
    <row r="131" spans="20:20" s="26" customFormat="1" x14ac:dyDescent="0.25">
      <c r="T131" s="48"/>
    </row>
    <row r="132" spans="20:20" s="26" customFormat="1" x14ac:dyDescent="0.25">
      <c r="T132" s="48"/>
    </row>
    <row r="133" spans="20:20" s="26" customFormat="1" x14ac:dyDescent="0.25">
      <c r="T133" s="48"/>
    </row>
    <row r="134" spans="20:20" s="26" customFormat="1" x14ac:dyDescent="0.25">
      <c r="T134" s="48"/>
    </row>
    <row r="135" spans="20:20" s="26" customFormat="1" x14ac:dyDescent="0.25">
      <c r="T135" s="48"/>
    </row>
    <row r="136" spans="20:20" s="26" customFormat="1" x14ac:dyDescent="0.25">
      <c r="T136" s="48"/>
    </row>
    <row r="137" spans="20:20" s="26" customFormat="1" x14ac:dyDescent="0.25">
      <c r="T137" s="48"/>
    </row>
    <row r="138" spans="20:20" s="26" customFormat="1" x14ac:dyDescent="0.25">
      <c r="T138" s="48"/>
    </row>
    <row r="139" spans="20:20" s="26" customFormat="1" x14ac:dyDescent="0.25">
      <c r="T139" s="48"/>
    </row>
    <row r="140" spans="20:20" s="26" customFormat="1" x14ac:dyDescent="0.25">
      <c r="T140" s="48"/>
    </row>
    <row r="141" spans="20:20" s="26" customFormat="1" x14ac:dyDescent="0.25">
      <c r="T141" s="48"/>
    </row>
    <row r="142" spans="20:20" s="26" customFormat="1" x14ac:dyDescent="0.25">
      <c r="T142" s="48"/>
    </row>
    <row r="143" spans="20:20" s="26" customFormat="1" x14ac:dyDescent="0.25">
      <c r="T143" s="48"/>
    </row>
    <row r="144" spans="20:20" s="26" customFormat="1" x14ac:dyDescent="0.25">
      <c r="T144" s="48"/>
    </row>
    <row r="145" spans="20:20" s="26" customFormat="1" x14ac:dyDescent="0.25">
      <c r="T145" s="48"/>
    </row>
    <row r="146" spans="20:20" s="26" customFormat="1" x14ac:dyDescent="0.25">
      <c r="T146" s="48"/>
    </row>
    <row r="147" spans="20:20" s="26" customFormat="1" x14ac:dyDescent="0.25">
      <c r="T147" s="48"/>
    </row>
    <row r="148" spans="20:20" s="26" customFormat="1" x14ac:dyDescent="0.25">
      <c r="T148" s="48"/>
    </row>
    <row r="149" spans="20:20" s="26" customFormat="1" x14ac:dyDescent="0.25">
      <c r="T149" s="48"/>
    </row>
    <row r="150" spans="20:20" s="26" customFormat="1" x14ac:dyDescent="0.25">
      <c r="T150" s="48"/>
    </row>
    <row r="151" spans="20:20" s="26" customFormat="1" x14ac:dyDescent="0.25">
      <c r="T151" s="48"/>
    </row>
    <row r="152" spans="20:20" s="26" customFormat="1" x14ac:dyDescent="0.25">
      <c r="T152" s="48"/>
    </row>
    <row r="153" spans="20:20" s="26" customFormat="1" x14ac:dyDescent="0.25">
      <c r="T153" s="48"/>
    </row>
    <row r="154" spans="20:20" s="26" customFormat="1" x14ac:dyDescent="0.25">
      <c r="T154" s="48"/>
    </row>
    <row r="155" spans="20:20" s="26" customFormat="1" x14ac:dyDescent="0.25">
      <c r="T155" s="48"/>
    </row>
    <row r="156" spans="20:20" s="26" customFormat="1" x14ac:dyDescent="0.25">
      <c r="T156" s="48"/>
    </row>
    <row r="157" spans="20:20" s="26" customFormat="1" x14ac:dyDescent="0.25">
      <c r="T157" s="48"/>
    </row>
    <row r="158" spans="20:20" s="26" customFormat="1" x14ac:dyDescent="0.25">
      <c r="T158" s="48"/>
    </row>
    <row r="159" spans="20:20" s="26" customFormat="1" x14ac:dyDescent="0.25">
      <c r="T159" s="48"/>
    </row>
    <row r="160" spans="20:20" s="26" customFormat="1" x14ac:dyDescent="0.25">
      <c r="T160" s="48"/>
    </row>
    <row r="161" spans="20:20" s="26" customFormat="1" x14ac:dyDescent="0.25">
      <c r="T161" s="48"/>
    </row>
    <row r="162" spans="20:20" s="26" customFormat="1" x14ac:dyDescent="0.25">
      <c r="T162" s="48"/>
    </row>
    <row r="163" spans="20:20" s="26" customFormat="1" x14ac:dyDescent="0.25">
      <c r="T163" s="48"/>
    </row>
    <row r="164" spans="20:20" s="26" customFormat="1" x14ac:dyDescent="0.25">
      <c r="T164" s="48"/>
    </row>
    <row r="165" spans="20:20" s="26" customFormat="1" x14ac:dyDescent="0.25">
      <c r="T165" s="48"/>
    </row>
    <row r="166" spans="20:20" s="26" customFormat="1" x14ac:dyDescent="0.25">
      <c r="T166" s="48"/>
    </row>
    <row r="167" spans="20:20" s="26" customFormat="1" x14ac:dyDescent="0.25">
      <c r="T167" s="48"/>
    </row>
    <row r="168" spans="20:20" s="26" customFormat="1" x14ac:dyDescent="0.25">
      <c r="T168" s="48"/>
    </row>
    <row r="169" spans="20:20" s="26" customFormat="1" x14ac:dyDescent="0.25">
      <c r="T169" s="48"/>
    </row>
    <row r="170" spans="20:20" s="26" customFormat="1" x14ac:dyDescent="0.25">
      <c r="T170" s="48"/>
    </row>
    <row r="171" spans="20:20" s="26" customFormat="1" x14ac:dyDescent="0.25">
      <c r="T171" s="48"/>
    </row>
    <row r="172" spans="20:20" s="26" customFormat="1" x14ac:dyDescent="0.25">
      <c r="T172" s="48"/>
    </row>
    <row r="173" spans="20:20" s="26" customFormat="1" x14ac:dyDescent="0.25">
      <c r="T173" s="48"/>
    </row>
    <row r="174" spans="20:20" s="26" customFormat="1" x14ac:dyDescent="0.25">
      <c r="T174" s="48"/>
    </row>
    <row r="175" spans="20:20" s="26" customFormat="1" x14ac:dyDescent="0.25">
      <c r="T175" s="48"/>
    </row>
    <row r="176" spans="20:20" s="26" customFormat="1" x14ac:dyDescent="0.25">
      <c r="T176" s="48"/>
    </row>
    <row r="177" spans="20:20" s="26" customFormat="1" x14ac:dyDescent="0.25">
      <c r="T177" s="48"/>
    </row>
    <row r="178" spans="20:20" s="26" customFormat="1" x14ac:dyDescent="0.25">
      <c r="T178" s="48"/>
    </row>
    <row r="179" spans="20:20" s="26" customFormat="1" x14ac:dyDescent="0.25">
      <c r="T179" s="48"/>
    </row>
    <row r="180" spans="20:20" s="26" customFormat="1" x14ac:dyDescent="0.25">
      <c r="T180" s="48"/>
    </row>
    <row r="181" spans="20:20" s="26" customFormat="1" x14ac:dyDescent="0.25">
      <c r="T181" s="48"/>
    </row>
    <row r="182" spans="20:20" s="26" customFormat="1" x14ac:dyDescent="0.25">
      <c r="T182" s="48"/>
    </row>
    <row r="183" spans="20:20" s="26" customFormat="1" x14ac:dyDescent="0.25">
      <c r="T183" s="48"/>
    </row>
    <row r="184" spans="20:20" s="26" customFormat="1" x14ac:dyDescent="0.25">
      <c r="T184" s="48"/>
    </row>
    <row r="185" spans="20:20" s="26" customFormat="1" x14ac:dyDescent="0.25">
      <c r="T185" s="48"/>
    </row>
    <row r="186" spans="20:20" s="26" customFormat="1" x14ac:dyDescent="0.25">
      <c r="T186" s="48"/>
    </row>
    <row r="187" spans="20:20" s="26" customFormat="1" x14ac:dyDescent="0.25">
      <c r="T187" s="48"/>
    </row>
    <row r="188" spans="20:20" s="26" customFormat="1" x14ac:dyDescent="0.25">
      <c r="T188" s="48"/>
    </row>
    <row r="189" spans="20:20" s="26" customFormat="1" x14ac:dyDescent="0.25">
      <c r="T189" s="48"/>
    </row>
    <row r="190" spans="20:20" s="26" customFormat="1" x14ac:dyDescent="0.25">
      <c r="T190" s="48"/>
    </row>
    <row r="191" spans="20:20" s="26" customFormat="1" x14ac:dyDescent="0.25">
      <c r="T191" s="48"/>
    </row>
    <row r="192" spans="20:20" s="26" customFormat="1" x14ac:dyDescent="0.25">
      <c r="T192" s="48"/>
    </row>
    <row r="193" spans="20:20" s="26" customFormat="1" x14ac:dyDescent="0.25">
      <c r="T193" s="48"/>
    </row>
    <row r="194" spans="20:20" s="26" customFormat="1" x14ac:dyDescent="0.25">
      <c r="T194" s="48"/>
    </row>
    <row r="195" spans="20:20" s="26" customFormat="1" x14ac:dyDescent="0.25">
      <c r="T195" s="48"/>
    </row>
    <row r="196" spans="20:20" s="26" customFormat="1" x14ac:dyDescent="0.25">
      <c r="T196" s="48"/>
    </row>
    <row r="197" spans="20:20" s="26" customFormat="1" x14ac:dyDescent="0.25">
      <c r="T197" s="48"/>
    </row>
    <row r="198" spans="20:20" s="26" customFormat="1" x14ac:dyDescent="0.25">
      <c r="T198" s="48"/>
    </row>
    <row r="199" spans="20:20" s="26" customFormat="1" x14ac:dyDescent="0.25">
      <c r="T199" s="48"/>
    </row>
    <row r="200" spans="20:20" s="26" customFormat="1" x14ac:dyDescent="0.25">
      <c r="T200" s="48"/>
    </row>
    <row r="201" spans="20:20" s="26" customFormat="1" x14ac:dyDescent="0.25">
      <c r="T201" s="48"/>
    </row>
    <row r="202" spans="20:20" s="26" customFormat="1" x14ac:dyDescent="0.25">
      <c r="T202" s="48"/>
    </row>
    <row r="203" spans="20:20" s="26" customFormat="1" x14ac:dyDescent="0.25">
      <c r="T203" s="48"/>
    </row>
    <row r="204" spans="20:20" s="26" customFormat="1" x14ac:dyDescent="0.25">
      <c r="T204" s="48"/>
    </row>
    <row r="205" spans="20:20" s="26" customFormat="1" x14ac:dyDescent="0.25">
      <c r="T205" s="48"/>
    </row>
    <row r="206" spans="20:20" s="26" customFormat="1" x14ac:dyDescent="0.25">
      <c r="T206" s="48"/>
    </row>
    <row r="207" spans="20:20" s="26" customFormat="1" x14ac:dyDescent="0.25">
      <c r="T207" s="48"/>
    </row>
    <row r="208" spans="20:20" s="26" customFormat="1" x14ac:dyDescent="0.25">
      <c r="T208" s="48"/>
    </row>
    <row r="209" spans="20:20" s="26" customFormat="1" x14ac:dyDescent="0.25">
      <c r="T209" s="48"/>
    </row>
    <row r="210" spans="20:20" s="26" customFormat="1" x14ac:dyDescent="0.25">
      <c r="T210" s="48"/>
    </row>
    <row r="211" spans="20:20" s="26" customFormat="1" x14ac:dyDescent="0.25">
      <c r="T211" s="48"/>
    </row>
    <row r="212" spans="20:20" s="26" customFormat="1" x14ac:dyDescent="0.25">
      <c r="T212" s="48"/>
    </row>
    <row r="213" spans="20:20" s="26" customFormat="1" x14ac:dyDescent="0.25">
      <c r="T213" s="48"/>
    </row>
    <row r="214" spans="20:20" s="26" customFormat="1" x14ac:dyDescent="0.25">
      <c r="T214" s="48"/>
    </row>
    <row r="215" spans="20:20" s="26" customFormat="1" x14ac:dyDescent="0.25">
      <c r="T215" s="48"/>
    </row>
    <row r="216" spans="20:20" s="26" customFormat="1" x14ac:dyDescent="0.25">
      <c r="T216" s="48"/>
    </row>
    <row r="217" spans="20:20" s="26" customFormat="1" x14ac:dyDescent="0.25">
      <c r="T217" s="48"/>
    </row>
    <row r="218" spans="20:20" s="26" customFormat="1" x14ac:dyDescent="0.25">
      <c r="T218" s="48"/>
    </row>
    <row r="219" spans="20:20" s="26" customFormat="1" x14ac:dyDescent="0.25">
      <c r="T219" s="48"/>
    </row>
    <row r="220" spans="20:20" s="26" customFormat="1" x14ac:dyDescent="0.25">
      <c r="T220" s="48"/>
    </row>
    <row r="221" spans="20:20" s="26" customFormat="1" x14ac:dyDescent="0.25">
      <c r="T221" s="48"/>
    </row>
    <row r="222" spans="20:20" s="26" customFormat="1" x14ac:dyDescent="0.25">
      <c r="T222" s="48"/>
    </row>
    <row r="223" spans="20:20" s="26" customFormat="1" x14ac:dyDescent="0.25">
      <c r="T223" s="48"/>
    </row>
    <row r="224" spans="20:20" s="26" customFormat="1" x14ac:dyDescent="0.25">
      <c r="T224" s="48"/>
    </row>
    <row r="225" spans="20:20" s="26" customFormat="1" x14ac:dyDescent="0.25">
      <c r="T225" s="48"/>
    </row>
    <row r="226" spans="20:20" s="26" customFormat="1" x14ac:dyDescent="0.25">
      <c r="T226" s="48"/>
    </row>
    <row r="227" spans="20:20" s="26" customFormat="1" x14ac:dyDescent="0.25">
      <c r="T227" s="48"/>
    </row>
    <row r="228" spans="20:20" s="26" customFormat="1" x14ac:dyDescent="0.25">
      <c r="T228" s="48"/>
    </row>
    <row r="229" spans="20:20" s="26" customFormat="1" x14ac:dyDescent="0.25">
      <c r="T229" s="48"/>
    </row>
    <row r="230" spans="20:20" s="26" customFormat="1" x14ac:dyDescent="0.25">
      <c r="T230" s="48"/>
    </row>
  </sheetData>
  <sheetProtection algorithmName="SHA-512" hashValue="GW2/drzRuQIraxXtv1xGISZ2pZOvWOXDfwfCSXz0r341k9gfjQcPc+5M7X/OC6/d//Op8Xb9s/rHp5QRTzWqyw==" saltValue="DqWVXgcmXdZauVBfVE6hZA==" spinCount="100000" sheet="1" selectLockedCells="1"/>
  <mergeCells count="6">
    <mergeCell ref="A30:S30"/>
    <mergeCell ref="A15:S15"/>
    <mergeCell ref="C1:S1"/>
    <mergeCell ref="C16:S16"/>
    <mergeCell ref="C17:S17"/>
    <mergeCell ref="C2:S2"/>
  </mergeCells>
  <dataValidations count="3">
    <dataValidation allowBlank="1" showInputMessage="1" showErrorMessage="1" prompt="Length of delivery hose is length of pipe + length from pipe to pump" sqref="E4:E13 E19:E29" xr:uid="{AEB8AEDD-7F00-47D6-8F36-B65ED2B6556A}"/>
    <dataValidation allowBlank="1" showInputMessage="1" showErrorMessage="1" prompt="Enter number of coats based on minimum recomended" sqref="C4:C13 C19:C29" xr:uid="{63D36BF2-8383-4CCC-838D-8506100AA612}"/>
    <dataValidation type="list" allowBlank="1" showInputMessage="1" showErrorMessage="1" errorTitle="Error" error="You must select from the drop down list provided." sqref="F14" xr:uid="{00000000-0002-0000-0000-000000000000}">
      <formula1>$G$4:$G$5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or" error="You must select from the drop down list provided." xr:uid="{B2AF045E-EEC4-462E-A967-B39EF3DF49E9}">
          <x14:formula1>
            <xm:f>'RT Calculator'!$B$18:$B$19</xm:f>
          </x14:formula1>
          <xm:sqref>F4:F13 F19:F29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L19"/>
  <sheetViews>
    <sheetView workbookViewId="0">
      <selection activeCell="A12" sqref="A12"/>
    </sheetView>
  </sheetViews>
  <sheetFormatPr defaultColWidth="11.42578125" defaultRowHeight="15" x14ac:dyDescent="0.25"/>
  <cols>
    <col min="9" max="9" width="18.5703125" bestFit="1" customWidth="1"/>
    <col min="10" max="10" width="11.28515625" bestFit="1" customWidth="1"/>
    <col min="11" max="11" width="12" bestFit="1" customWidth="1"/>
    <col min="12" max="12" width="18.5703125" bestFit="1" customWidth="1"/>
    <col min="16" max="16" width="15.140625" bestFit="1" customWidth="1"/>
  </cols>
  <sheetData>
    <row r="1" spans="1:12" x14ac:dyDescent="0.25">
      <c r="A1" t="s">
        <v>70</v>
      </c>
      <c r="B1" t="s">
        <v>71</v>
      </c>
      <c r="C1" t="s">
        <v>72</v>
      </c>
      <c r="D1" t="s">
        <v>73</v>
      </c>
      <c r="E1" t="s">
        <v>74</v>
      </c>
      <c r="H1" t="s">
        <v>70</v>
      </c>
      <c r="I1" s="3" t="s">
        <v>75</v>
      </c>
      <c r="K1" t="s">
        <v>71</v>
      </c>
      <c r="L1" s="3" t="s">
        <v>75</v>
      </c>
    </row>
    <row r="2" spans="1:12" ht="18.75" x14ac:dyDescent="0.25">
      <c r="A2" s="8" t="s">
        <v>54</v>
      </c>
      <c r="B2" t="s">
        <v>22</v>
      </c>
      <c r="C2">
        <v>0.32700000000000001</v>
      </c>
      <c r="D2">
        <f>C2*73</f>
        <v>23.871000000000002</v>
      </c>
      <c r="E2">
        <v>2</v>
      </c>
      <c r="H2" s="1" t="s">
        <v>54</v>
      </c>
      <c r="I2" s="3">
        <v>2</v>
      </c>
      <c r="K2" t="s">
        <v>22</v>
      </c>
      <c r="L2" s="3">
        <v>2</v>
      </c>
    </row>
    <row r="3" spans="1:12" ht="18.75" x14ac:dyDescent="0.25">
      <c r="A3" s="8" t="s">
        <v>37</v>
      </c>
      <c r="B3" t="s">
        <v>51</v>
      </c>
      <c r="C3">
        <v>0.42199999999999999</v>
      </c>
      <c r="D3">
        <f t="shared" ref="D3:D13" si="0">C3*73</f>
        <v>30.805999999999997</v>
      </c>
      <c r="E3">
        <v>2</v>
      </c>
      <c r="H3" s="1" t="s">
        <v>37</v>
      </c>
      <c r="I3" s="3">
        <v>2</v>
      </c>
      <c r="K3" t="s">
        <v>51</v>
      </c>
      <c r="L3" s="3">
        <v>2</v>
      </c>
    </row>
    <row r="4" spans="1:12" ht="18.75" x14ac:dyDescent="0.25">
      <c r="A4" s="8" t="s">
        <v>38</v>
      </c>
      <c r="B4" t="s">
        <v>24</v>
      </c>
      <c r="C4">
        <v>0.54100000000000004</v>
      </c>
      <c r="D4">
        <f t="shared" si="0"/>
        <v>39.493000000000002</v>
      </c>
      <c r="E4">
        <v>2</v>
      </c>
      <c r="H4" s="1" t="s">
        <v>38</v>
      </c>
      <c r="I4" s="3">
        <v>2</v>
      </c>
      <c r="K4" t="s">
        <v>24</v>
      </c>
      <c r="L4" s="3">
        <v>2</v>
      </c>
    </row>
    <row r="5" spans="1:12" ht="18.75" x14ac:dyDescent="0.25">
      <c r="A5" s="8" t="s">
        <v>39</v>
      </c>
      <c r="B5" t="s">
        <v>25</v>
      </c>
      <c r="C5">
        <v>0.64700000000000002</v>
      </c>
      <c r="D5">
        <f t="shared" si="0"/>
        <v>47.231000000000002</v>
      </c>
      <c r="E5">
        <v>3</v>
      </c>
      <c r="H5" s="1" t="s">
        <v>39</v>
      </c>
      <c r="I5" s="3">
        <v>2</v>
      </c>
      <c r="K5" t="s">
        <v>25</v>
      </c>
      <c r="L5" s="3">
        <v>2</v>
      </c>
    </row>
    <row r="6" spans="1:12" ht="18.75" x14ac:dyDescent="0.25">
      <c r="A6" s="8" t="s">
        <v>40</v>
      </c>
      <c r="B6" t="s">
        <v>26</v>
      </c>
      <c r="C6">
        <v>0.80400000000000005</v>
      </c>
      <c r="D6">
        <f t="shared" si="0"/>
        <v>58.692</v>
      </c>
      <c r="E6">
        <v>3</v>
      </c>
      <c r="H6" s="1" t="s">
        <v>40</v>
      </c>
      <c r="I6" s="3" t="s">
        <v>76</v>
      </c>
      <c r="K6" t="s">
        <v>26</v>
      </c>
      <c r="L6" s="3" t="s">
        <v>76</v>
      </c>
    </row>
    <row r="7" spans="1:12" ht="18.75" x14ac:dyDescent="0.25">
      <c r="A7" s="8" t="s">
        <v>41</v>
      </c>
      <c r="B7" t="s">
        <v>27</v>
      </c>
      <c r="C7">
        <v>1.0529999999999999</v>
      </c>
      <c r="D7">
        <f t="shared" si="0"/>
        <v>76.869</v>
      </c>
      <c r="E7">
        <v>3</v>
      </c>
      <c r="H7" s="1" t="s">
        <v>41</v>
      </c>
      <c r="I7" s="3" t="s">
        <v>76</v>
      </c>
      <c r="K7" t="s">
        <v>27</v>
      </c>
      <c r="L7" s="3" t="s">
        <v>76</v>
      </c>
    </row>
    <row r="8" spans="1:12" ht="18.75" x14ac:dyDescent="0.25">
      <c r="A8" s="8" t="s">
        <v>42</v>
      </c>
      <c r="B8" t="s">
        <v>28</v>
      </c>
      <c r="C8">
        <v>1.32</v>
      </c>
      <c r="D8">
        <f t="shared" si="0"/>
        <v>96.36</v>
      </c>
      <c r="E8">
        <v>4</v>
      </c>
      <c r="H8" s="1" t="s">
        <v>42</v>
      </c>
      <c r="I8" s="3" t="s">
        <v>76</v>
      </c>
      <c r="K8" t="s">
        <v>28</v>
      </c>
      <c r="L8" s="3" t="s">
        <v>76</v>
      </c>
    </row>
    <row r="9" spans="1:12" ht="18.75" x14ac:dyDescent="0.25">
      <c r="A9" s="8" t="s">
        <v>43</v>
      </c>
      <c r="B9" t="s">
        <v>29</v>
      </c>
      <c r="C9">
        <v>1.59</v>
      </c>
      <c r="D9">
        <f t="shared" si="0"/>
        <v>116.07000000000001</v>
      </c>
      <c r="E9">
        <v>4</v>
      </c>
      <c r="G9" s="2"/>
      <c r="H9" s="1" t="s">
        <v>43</v>
      </c>
      <c r="I9" s="3" t="s">
        <v>77</v>
      </c>
      <c r="K9" t="s">
        <v>29</v>
      </c>
      <c r="L9" s="3" t="s">
        <v>77</v>
      </c>
    </row>
    <row r="10" spans="1:12" ht="18.75" x14ac:dyDescent="0.25">
      <c r="A10" s="8" t="s">
        <v>44</v>
      </c>
      <c r="B10" t="s">
        <v>30</v>
      </c>
      <c r="C10">
        <v>2.0699999999999998</v>
      </c>
      <c r="D10">
        <f t="shared" si="0"/>
        <v>151.10999999999999</v>
      </c>
      <c r="E10">
        <v>5</v>
      </c>
      <c r="H10" s="1" t="s">
        <v>44</v>
      </c>
      <c r="I10" s="3" t="s">
        <v>78</v>
      </c>
      <c r="K10" t="s">
        <v>30</v>
      </c>
      <c r="L10" s="3" t="s">
        <v>78</v>
      </c>
    </row>
    <row r="11" spans="1:12" ht="18.75" x14ac:dyDescent="0.25">
      <c r="A11" s="8" t="s">
        <v>68</v>
      </c>
      <c r="B11" t="s">
        <v>31</v>
      </c>
      <c r="C11">
        <v>2.36</v>
      </c>
      <c r="D11">
        <f t="shared" si="0"/>
        <v>172.28</v>
      </c>
      <c r="E11">
        <v>6</v>
      </c>
      <c r="H11" s="1" t="s">
        <v>68</v>
      </c>
      <c r="I11" s="3" t="s">
        <v>79</v>
      </c>
      <c r="K11" t="s">
        <v>31</v>
      </c>
      <c r="L11" s="3" t="s">
        <v>79</v>
      </c>
    </row>
    <row r="12" spans="1:12" ht="18.75" x14ac:dyDescent="0.25">
      <c r="A12" s="8" t="s">
        <v>69</v>
      </c>
      <c r="B12" t="s">
        <v>52</v>
      </c>
      <c r="C12">
        <v>2.62</v>
      </c>
      <c r="D12">
        <f t="shared" si="0"/>
        <v>191.26000000000002</v>
      </c>
      <c r="E12">
        <v>6</v>
      </c>
      <c r="H12" s="1" t="s">
        <v>69</v>
      </c>
      <c r="I12" s="3" t="s">
        <v>79</v>
      </c>
      <c r="K12" t="s">
        <v>52</v>
      </c>
      <c r="L12" s="3" t="s">
        <v>79</v>
      </c>
    </row>
    <row r="13" spans="1:12" ht="18.75" x14ac:dyDescent="0.25">
      <c r="A13" s="8" t="s">
        <v>45</v>
      </c>
      <c r="B13" t="s">
        <v>53</v>
      </c>
      <c r="C13">
        <v>3.14</v>
      </c>
      <c r="D13">
        <f t="shared" si="0"/>
        <v>229.22</v>
      </c>
      <c r="E13">
        <v>8</v>
      </c>
      <c r="H13" s="1" t="s">
        <v>45</v>
      </c>
      <c r="I13" s="3" t="s">
        <v>80</v>
      </c>
      <c r="K13" t="s">
        <v>53</v>
      </c>
      <c r="L13" s="3" t="s">
        <v>80</v>
      </c>
    </row>
    <row r="14" spans="1:12" x14ac:dyDescent="0.25">
      <c r="A14" s="1"/>
    </row>
    <row r="15" spans="1:12" x14ac:dyDescent="0.25">
      <c r="A15" s="1"/>
    </row>
    <row r="16" spans="1:12" x14ac:dyDescent="0.25">
      <c r="A16" s="1"/>
    </row>
    <row r="18" spans="2:2" x14ac:dyDescent="0.25">
      <c r="B18" t="s">
        <v>23</v>
      </c>
    </row>
    <row r="19" spans="2:2" x14ac:dyDescent="0.25">
      <c r="B19" t="s">
        <v>81</v>
      </c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4CF47210BF746AD331C70B52A4ECA" ma:contentTypeVersion="15" ma:contentTypeDescription="Create a new document." ma:contentTypeScope="" ma:versionID="a8b9e86c03f587d23766e666137fcd3c">
  <xsd:schema xmlns:xsd="http://www.w3.org/2001/XMLSchema" xmlns:xs="http://www.w3.org/2001/XMLSchema" xmlns:p="http://schemas.microsoft.com/office/2006/metadata/properties" xmlns:ns2="c0696def-58c9-4be6-bf2a-14bbcfdcdb79" xmlns:ns3="35cc2903-f9fd-444e-bc27-4433deeebae9" targetNamespace="http://schemas.microsoft.com/office/2006/metadata/properties" ma:root="true" ma:fieldsID="9a1684ed28e740db456d54b2a30d9e7e" ns2:_="" ns3:_="">
    <xsd:import namespace="c0696def-58c9-4be6-bf2a-14bbcfdcdb79"/>
    <xsd:import namespace="35cc2903-f9fd-444e-bc27-4433deeeba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696def-58c9-4be6-bf2a-14bbcfdcdb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d988f14-4a78-49c2-9c8c-cd0d5ece21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cc2903-f9fd-444e-bc27-4433deeebae9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7361fe23-94e0-45f3-885d-0b5caa0c5b38}" ma:internalName="TaxCatchAll" ma:showField="CatchAllData" ma:web="35cc2903-f9fd-444e-bc27-4433deeeba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5cc2903-f9fd-444e-bc27-4433deeebae9" xsi:nil="true"/>
    <lcf76f155ced4ddcb4097134ff3c332f xmlns="c0696def-58c9-4be6-bf2a-14bbcfdcdb7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75AE562-D3B3-4693-A084-B55DCE1E12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32DBF5-D12E-4BD9-9FF2-3B4A4ED957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696def-58c9-4be6-bf2a-14bbcfdcdb79"/>
    <ds:schemaRef ds:uri="35cc2903-f9fd-444e-bc27-4433deeeba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5DA498-BF60-45E6-B74F-3F7B789C5989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c0696def-58c9-4be6-bf2a-14bbcfdcdb79"/>
    <ds:schemaRef ds:uri="35cc2903-f9fd-444e-bc27-4433deeebae9"/>
    <ds:schemaRef ds:uri="http://www.w3.org/XML/1998/namespace"/>
    <ds:schemaRef ds:uri="http://schemas.microsoft.com/office/2006/metadata/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Single Run Calculator</vt:lpstr>
      <vt:lpstr>Multiple Runs Calculator</vt:lpstr>
      <vt:lpstr>Multipe Pipe Size Calc</vt:lpstr>
      <vt:lpstr>RT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Amber Moore</dc:creator>
  <cp:keywords/>
  <dc:description/>
  <cp:lastModifiedBy>Ryan Boldan</cp:lastModifiedBy>
  <cp:revision/>
  <dcterms:created xsi:type="dcterms:W3CDTF">2015-05-13T09:05:19Z</dcterms:created>
  <dcterms:modified xsi:type="dcterms:W3CDTF">2024-03-28T18:21:59Z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0x01010017F4CF47210BF746AD331C70B52A4ECA</vt:lpwstr>
  </property>
  <property fmtid="{D5CDD505-2E9C-101B-9397-08002B2CF9AE}" pid="3" name="MediaServiceImageTags">
    <vt:lpwstr/>
  </property>
</Properties>
</file>